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pivotTable+xml" PartName="/xl/pivotTables/pivotTable4.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Currency Exchange Rates" sheetId="2" r:id="rId5"/>
    <sheet state="visible" name="Total Sales by Sale Status" sheetId="3" r:id="rId6"/>
    <sheet state="visible" name="Total Sales by Country per Year" sheetId="4" r:id="rId7"/>
    <sheet state="visible" name="Country Graphs" sheetId="5" r:id="rId8"/>
    <sheet state="visible" name="Total USA KH Sale Portfolio by " sheetId="6" r:id="rId9"/>
    <sheet state="visible" name="Total World KH Sale Portfolio b" sheetId="7" r:id="rId10"/>
  </sheets>
  <definedNames>
    <definedName name="UnitsPerUSD">'Currency Exchange Rates'!$D$3:$D$169</definedName>
    <definedName name="CurrencyCodes">'Currency Exchange Rates'!$B$3:$B$169</definedName>
    <definedName hidden="1" localSheetId="0" name="Z_4232CABC_18E2_4A93_881A_C1D507A9002B_.wvu.FilterData">'Form Responses 1'!$A$1:$R$963</definedName>
    <definedName hidden="1" localSheetId="0" name="Z_B30A6ECD_DC4B_4C79_A963_0A47EB4BD7DB_.wvu.FilterData">'Form Responses 1'!$A$1:$R$963</definedName>
    <definedName hidden="1" localSheetId="0" name="Z_FDE02F73_79AF_4D7D_9DC8_4B3AA24D2526_.wvu.FilterData">'Form Responses 1'!$A$1:$R$963</definedName>
  </definedNames>
  <calcPr/>
  <customWorkbookViews>
    <customWorkbookView activeSheetId="0" maximized="1" tabRatio="600" windowHeight="0" windowWidth="0" guid="{4232CABC-18E2-4A93-881A-C1D507A9002B}" name="Filter 2"/>
    <customWorkbookView activeSheetId="0" maximized="1" tabRatio="600" windowHeight="0" windowWidth="0" guid="{FDE02F73-79AF-4D7D-9DC8-4B3AA24D2526}" name="Filter 3"/>
    <customWorkbookView activeSheetId="0" maximized="1" tabRatio="600" windowHeight="0" windowWidth="0" guid="{B30A6ECD-DC4B-4C79-A963-0A47EB4BD7DB}" name="Filter 1"/>
  </customWorkbookViews>
  <pivotCaches>
    <pivotCache cacheId="0" r:id="rId11"/>
  </pivotCaches>
</workbook>
</file>

<file path=xl/comments1.xml><?xml version="1.0" encoding="utf-8"?>
<comments xmlns:r="http://schemas.openxmlformats.org/officeDocument/2006/relationships" xmlns="http://schemas.openxmlformats.org/spreadsheetml/2006/main">
  <authors>
    <author/>
  </authors>
  <commentList>
    <comment authorId="0" ref="G6">
      <text>
        <t xml:space="preserve">Responder updated this value.</t>
      </text>
    </comment>
    <comment authorId="0" ref="L6">
      <text>
        <t xml:space="preserve">Responder updated this value.</t>
      </text>
    </comment>
    <comment authorId="0" ref="F7">
      <text>
        <t xml:space="preserve">Responder updated this value.</t>
      </text>
    </comment>
    <comment authorId="0" ref="L7">
      <text>
        <t xml:space="preserve">Responder updated this value.</t>
      </text>
    </comment>
    <comment authorId="0" ref="F8">
      <text>
        <t xml:space="preserve">Responder updated this value.</t>
      </text>
    </comment>
    <comment authorId="0" ref="L8">
      <text>
        <t xml:space="preserve">Responder updated this value.</t>
      </text>
    </comment>
    <comment authorId="0" ref="F9">
      <text>
        <t xml:space="preserve">Responder updated this value.</t>
      </text>
    </comment>
    <comment authorId="0" ref="L9">
      <text>
        <t xml:space="preserve">Responder updated this value.</t>
      </text>
    </comment>
    <comment authorId="0" ref="J12">
      <text>
        <t xml:space="preserve">Responder updated this value.</t>
      </text>
    </comment>
    <comment authorId="0" ref="L12">
      <text>
        <t xml:space="preserve">Responder updated this value.</t>
      </text>
    </comment>
    <comment authorId="0" ref="N12">
      <text>
        <t xml:space="preserve">Responder updated this value.</t>
      </text>
    </comment>
    <comment authorId="0" ref="F13">
      <text>
        <t xml:space="preserve">Responder updated this value.</t>
      </text>
    </comment>
    <comment authorId="0" ref="G13">
      <text>
        <t xml:space="preserve">Responder updated this value.</t>
      </text>
    </comment>
    <comment authorId="0" ref="M13">
      <text>
        <t xml:space="preserve">Responder updated this value.</t>
      </text>
    </comment>
    <comment authorId="0" ref="F15">
      <text>
        <t xml:space="preserve">Responder updated this value.</t>
      </text>
    </comment>
    <comment authorId="0" ref="G15">
      <text>
        <t xml:space="preserve">Responder updated this value.</t>
      </text>
    </comment>
    <comment authorId="0" ref="N15">
      <text>
        <t xml:space="preserve">Responder updated this value.</t>
      </text>
    </comment>
    <comment authorId="0" ref="E18">
      <text>
        <t xml:space="preserve">Responder updated this value.</t>
      </text>
    </comment>
    <comment authorId="0" ref="I18">
      <text>
        <t xml:space="preserve">Responder updated this value.</t>
      </text>
    </comment>
    <comment authorId="0" ref="L18">
      <text>
        <t xml:space="preserve">Responder updated this value.</t>
      </text>
    </comment>
    <comment authorId="0" ref="N19">
      <text>
        <t xml:space="preserve">Responder updated this value.</t>
      </text>
    </comment>
    <comment authorId="0" ref="F20">
      <text>
        <t xml:space="preserve">Responder updated this value.</t>
      </text>
    </comment>
    <comment authorId="0" ref="L20">
      <text>
        <t xml:space="preserve">Responder updated this value.</t>
      </text>
    </comment>
    <comment authorId="0" ref="N21">
      <text>
        <t xml:space="preserve">Responder updated this value.</t>
      </text>
    </comment>
    <comment authorId="0" ref="F22">
      <text>
        <t xml:space="preserve">Responder updated this value.</t>
      </text>
    </comment>
    <comment authorId="0" ref="L22">
      <text>
        <t xml:space="preserve">Responder updated this value.</t>
      </text>
    </comment>
    <comment authorId="0" ref="F23">
      <text>
        <t xml:space="preserve">Responder updated this value.</t>
      </text>
    </comment>
    <comment authorId="0" ref="E24">
      <text>
        <t xml:space="preserve">Responder updated this value.</t>
      </text>
    </comment>
    <comment authorId="0" ref="L24">
      <text>
        <t xml:space="preserve">Responder updated this value.</t>
      </text>
    </comment>
    <comment authorId="0" ref="E25">
      <text>
        <t xml:space="preserve">Responder updated this value.</t>
      </text>
    </comment>
    <comment authorId="0" ref="I25">
      <text>
        <t xml:space="preserve">Responder updated this value.</t>
      </text>
    </comment>
    <comment authorId="0" ref="J25">
      <text>
        <t xml:space="preserve">Responder updated this value.</t>
      </text>
    </comment>
    <comment authorId="0" ref="L25">
      <text>
        <t xml:space="preserve">Responder updated this value.</t>
      </text>
    </comment>
    <comment authorId="0" ref="N25">
      <text>
        <t xml:space="preserve">Responder updated this value.</t>
      </text>
    </comment>
    <comment authorId="0" ref="C26">
      <text>
        <t xml:space="preserve">Responder updated this value.</t>
      </text>
    </comment>
    <comment authorId="0" ref="D26">
      <text>
        <t xml:space="preserve">Responder updated this value.</t>
      </text>
    </comment>
    <comment authorId="0" ref="E26">
      <text>
        <t xml:space="preserve">Responder updated this value.</t>
      </text>
    </comment>
    <comment authorId="0" ref="L26">
      <text>
        <t xml:space="preserve">Responder updated this value.</t>
      </text>
    </comment>
    <comment authorId="0" ref="I27">
      <text>
        <t xml:space="preserve">Responder updated this value.</t>
      </text>
    </comment>
    <comment authorId="0" ref="J27">
      <text>
        <t xml:space="preserve">Responder updated this value.</t>
      </text>
    </comment>
    <comment authorId="0" ref="L27">
      <text>
        <t xml:space="preserve">Responder updated this value.</t>
      </text>
    </comment>
    <comment authorId="0" ref="N27">
      <text>
        <t xml:space="preserve">Responder updated this value.</t>
      </text>
    </comment>
    <comment authorId="0" ref="I28">
      <text>
        <t xml:space="preserve">Responder updated this value.</t>
      </text>
    </comment>
    <comment authorId="0" ref="J28">
      <text>
        <t xml:space="preserve">Responder updated this value.</t>
      </text>
    </comment>
    <comment authorId="0" ref="L28">
      <text>
        <t xml:space="preserve">Responder updated this value.</t>
      </text>
    </comment>
    <comment authorId="0" ref="M28">
      <text>
        <t xml:space="preserve">Responder updated this value.</t>
      </text>
    </comment>
    <comment authorId="0" ref="N28">
      <text>
        <t xml:space="preserve">Responder updated this value.</t>
      </text>
    </comment>
    <comment authorId="0" ref="G29">
      <text>
        <t xml:space="preserve">Responder updated this value.</t>
      </text>
    </comment>
    <comment authorId="0" ref="L29">
      <text>
        <t xml:space="preserve">Responder updated this value.</t>
      </text>
    </comment>
    <comment authorId="0" ref="F30">
      <text>
        <t xml:space="preserve">Responder updated this value.</t>
      </text>
    </comment>
    <comment authorId="0" ref="I30">
      <text>
        <t xml:space="preserve">Responder updated this value.</t>
      </text>
    </comment>
    <comment authorId="0" ref="J30">
      <text>
        <t xml:space="preserve">Responder updated this value.</t>
      </text>
    </comment>
    <comment authorId="0" ref="N30">
      <text>
        <t xml:space="preserve">Responder updated this value.</t>
      </text>
    </comment>
    <comment authorId="0" ref="C31">
      <text>
        <t xml:space="preserve">Responder updated this value.</t>
      </text>
    </comment>
    <comment authorId="0" ref="D31">
      <text>
        <t xml:space="preserve">Responder updated this value.</t>
      </text>
    </comment>
    <comment authorId="0" ref="J31">
      <text>
        <t xml:space="preserve">Responder updated this value.</t>
      </text>
    </comment>
    <comment authorId="0" ref="L31">
      <text>
        <t xml:space="preserve">Responder updated this value.</t>
      </text>
    </comment>
    <comment authorId="0" ref="M31">
      <text>
        <t xml:space="preserve">Responder updated this value.</t>
      </text>
    </comment>
    <comment authorId="0" ref="N31">
      <text>
        <t xml:space="preserve">Responder updated this value.</t>
      </text>
    </comment>
    <comment authorId="0" ref="I32">
      <text>
        <t xml:space="preserve">Responder updated this value.</t>
      </text>
    </comment>
    <comment authorId="0" ref="J32">
      <text>
        <t xml:space="preserve">Responder updated this value.</t>
      </text>
    </comment>
    <comment authorId="0" ref="L32">
      <text>
        <t xml:space="preserve">Responder updated this value.</t>
      </text>
    </comment>
    <comment authorId="0" ref="M32">
      <text>
        <t xml:space="preserve">Responder updated this value.</t>
      </text>
    </comment>
    <comment authorId="0" ref="N32">
      <text>
        <t xml:space="preserve">Responder updated this value.</t>
      </text>
    </comment>
    <comment authorId="0" ref="F34">
      <text>
        <t xml:space="preserve">Responder updated this value.</t>
      </text>
    </comment>
    <comment authorId="0" ref="L34">
      <text>
        <t xml:space="preserve">Responder updated this value.</t>
      </text>
    </comment>
    <comment authorId="0" ref="M34">
      <text>
        <t xml:space="preserve">Responder updated this value.</t>
      </text>
    </comment>
    <comment authorId="0" ref="C35">
      <text>
        <t xml:space="preserve">Responder updated this value.</t>
      </text>
    </comment>
    <comment authorId="0" ref="D35">
      <text>
        <t xml:space="preserve">Responder updated this value.</t>
      </text>
    </comment>
    <comment authorId="0" ref="G35">
      <text>
        <t xml:space="preserve">Responder updated this value.</t>
      </text>
    </comment>
    <comment authorId="0" ref="N35">
      <text>
        <t xml:space="preserve">Responder updated this value.</t>
      </text>
    </comment>
    <comment authorId="0" ref="G36">
      <text>
        <t xml:space="preserve">Responder updated this value.</t>
      </text>
    </comment>
    <comment authorId="0" ref="J36">
      <text>
        <t xml:space="preserve">Responder updated this value.</t>
      </text>
    </comment>
    <comment authorId="0" ref="L36">
      <text>
        <t xml:space="preserve">Responder updated this value.</t>
      </text>
    </comment>
    <comment authorId="0" ref="M36">
      <text>
        <t xml:space="preserve">Responder updated this value.</t>
      </text>
    </comment>
    <comment authorId="0" ref="N36">
      <text>
        <t xml:space="preserve">Responder updated this value.</t>
      </text>
    </comment>
    <comment authorId="0" ref="F38">
      <text>
        <t xml:space="preserve">Responder updated this value.</t>
      </text>
    </comment>
    <comment authorId="0" ref="L38">
      <text>
        <t xml:space="preserve">Responder updated this value.</t>
      </text>
    </comment>
    <comment authorId="0" ref="N38">
      <text>
        <t xml:space="preserve">Responder updated this value.</t>
      </text>
    </comment>
    <comment authorId="0" ref="F39">
      <text>
        <t xml:space="preserve">Responder updated this value.</t>
      </text>
    </comment>
    <comment authorId="0" ref="J39">
      <text>
        <t xml:space="preserve">Responder updated this value.</t>
      </text>
    </comment>
    <comment authorId="0" ref="M39">
      <text>
        <t xml:space="preserve">Responder updated this value.</t>
      </text>
    </comment>
    <comment authorId="0" ref="N39">
      <text>
        <t xml:space="preserve">Responder updated this value.</t>
      </text>
    </comment>
    <comment authorId="0" ref="F40">
      <text>
        <t xml:space="preserve">Responder updated this value.</t>
      </text>
    </comment>
    <comment authorId="0" ref="I40">
      <text>
        <t xml:space="preserve">Responder updated this value.</t>
      </text>
    </comment>
    <comment authorId="0" ref="J40">
      <text>
        <t xml:space="preserve">Responder updated this value.</t>
      </text>
    </comment>
    <comment authorId="0" ref="N40">
      <text>
        <t xml:space="preserve">Responder updated this value.</t>
      </text>
    </comment>
    <comment authorId="0" ref="D42">
      <text>
        <t xml:space="preserve">Responder updated this value.</t>
      </text>
    </comment>
    <comment authorId="0" ref="F42">
      <text>
        <t xml:space="preserve">Responder updated this value.</t>
      </text>
    </comment>
    <comment authorId="0" ref="F43">
      <text>
        <t xml:space="preserve">Responder updated this value.</t>
      </text>
    </comment>
    <comment authorId="0" ref="G43">
      <text>
        <t xml:space="preserve">Responder updated this value.</t>
      </text>
    </comment>
    <comment authorId="0" ref="H43">
      <text>
        <t xml:space="preserve">Responder updated this value.</t>
      </text>
    </comment>
    <comment authorId="0" ref="F44">
      <text>
        <t xml:space="preserve">Responder updated this value.</t>
      </text>
    </comment>
    <comment authorId="0" ref="D45">
      <text>
        <t xml:space="preserve">Responder updated this value.</t>
      </text>
    </comment>
    <comment authorId="0" ref="J45">
      <text>
        <t xml:space="preserve">Responder updated this value.</t>
      </text>
    </comment>
    <comment authorId="0" ref="M45">
      <text>
        <t xml:space="preserve">Responder updated this value.</t>
      </text>
    </comment>
    <comment authorId="0" ref="M46">
      <text>
        <t xml:space="preserve">Responder updated this value.</t>
      </text>
    </comment>
    <comment authorId="0" ref="N46">
      <text>
        <t xml:space="preserve">Responder updated this value.</t>
      </text>
    </comment>
    <comment authorId="0" ref="F47">
      <text>
        <t xml:space="preserve">Responder updated this value.</t>
      </text>
    </comment>
    <comment authorId="0" ref="N47">
      <text>
        <t xml:space="preserve">Responder updated this value.</t>
      </text>
    </comment>
    <comment authorId="0" ref="E48">
      <text>
        <t xml:space="preserve">Responder updated this value.</t>
      </text>
    </comment>
    <comment authorId="0" ref="F48">
      <text>
        <t xml:space="preserve">Responder updated this value.</t>
      </text>
    </comment>
    <comment authorId="0" ref="L48">
      <text>
        <t xml:space="preserve">Responder updated this value.</t>
      </text>
    </comment>
    <comment authorId="0" ref="N49">
      <text>
        <t xml:space="preserve">Responder updated this value.</t>
      </text>
    </comment>
    <comment authorId="0" ref="D50">
      <text>
        <t xml:space="preserve">Responder updated this value.</t>
      </text>
    </comment>
    <comment authorId="0" ref="E50">
      <text>
        <t xml:space="preserve">Responder updated this value.</t>
      </text>
    </comment>
    <comment authorId="0" ref="I51">
      <text>
        <t xml:space="preserve">Responder updated this value.</t>
      </text>
    </comment>
    <comment authorId="0" ref="J51">
      <text>
        <t xml:space="preserve">Responder updated this value.</t>
      </text>
    </comment>
    <comment authorId="0" ref="L51">
      <text>
        <t xml:space="preserve">Responder updated this value.</t>
      </text>
    </comment>
    <comment authorId="0" ref="N51">
      <text>
        <t xml:space="preserve">Responder updated this value.</t>
      </text>
    </comment>
    <comment authorId="0" ref="F52">
      <text>
        <t xml:space="preserve">Responder updated this value.</t>
      </text>
    </comment>
    <comment authorId="0" ref="C53">
      <text>
        <t xml:space="preserve">Responder updated this value.</t>
      </text>
    </comment>
    <comment authorId="0" ref="D53">
      <text>
        <t xml:space="preserve">Responder updated this value.</t>
      </text>
    </comment>
    <comment authorId="0" ref="E53">
      <text>
        <t xml:space="preserve">Responder updated this value.</t>
      </text>
    </comment>
    <comment authorId="0" ref="F53">
      <text>
        <t xml:space="preserve">Responder updated this value.</t>
      </text>
    </comment>
    <comment authorId="0" ref="G53">
      <text>
        <t xml:space="preserve">Responder updated this value.</t>
      </text>
    </comment>
    <comment authorId="0" ref="M53">
      <text>
        <t xml:space="preserve">Responder updated this value.</t>
      </text>
    </comment>
    <comment authorId="0" ref="N53">
      <text>
        <t xml:space="preserve">Responder updated this value.</t>
      </text>
    </comment>
    <comment authorId="0" ref="N55">
      <text>
        <t xml:space="preserve">Responder updated this value.</t>
      </text>
    </comment>
    <comment authorId="0" ref="E56">
      <text>
        <t xml:space="preserve">Responder updated this value.</t>
      </text>
    </comment>
    <comment authorId="0" ref="F56">
      <text>
        <t xml:space="preserve">Responder updated this value.</t>
      </text>
    </comment>
    <comment authorId="0" ref="L56">
      <text>
        <t xml:space="preserve">Responder updated this value.</t>
      </text>
    </comment>
    <comment authorId="0" ref="D57">
      <text>
        <t xml:space="preserve">Responder updated this value.</t>
      </text>
    </comment>
    <comment authorId="0" ref="E57">
      <text>
        <t xml:space="preserve">Responder updated this value.</t>
      </text>
    </comment>
    <comment authorId="0" ref="L57">
      <text>
        <t xml:space="preserve">Responder updated this value.</t>
      </text>
    </comment>
    <comment authorId="0" ref="N57">
      <text>
        <t xml:space="preserve">Responder updated this value.</t>
      </text>
    </comment>
    <comment authorId="0" ref="C58">
      <text>
        <t xml:space="preserve">Responder updated this value.</t>
      </text>
    </comment>
    <comment authorId="0" ref="D58">
      <text>
        <t xml:space="preserve">Responder updated this value.</t>
      </text>
    </comment>
    <comment authorId="0" ref="F58">
      <text>
        <t xml:space="preserve">Responder updated this value.</t>
      </text>
    </comment>
    <comment authorId="0" ref="G58">
      <text>
        <t xml:space="preserve">Responder updated this value.</t>
      </text>
    </comment>
    <comment authorId="0" ref="J58">
      <text>
        <t xml:space="preserve">Responder updated this value.</t>
      </text>
    </comment>
    <comment authorId="0" ref="L58">
      <text>
        <t xml:space="preserve">Responder updated this value.</t>
      </text>
    </comment>
    <comment authorId="0" ref="M58">
      <text>
        <t xml:space="preserve">Responder updated this value.</t>
      </text>
    </comment>
    <comment authorId="0" ref="N58">
      <text>
        <t xml:space="preserve">Responder updated this value.</t>
      </text>
    </comment>
    <comment authorId="0" ref="D60">
      <text>
        <t xml:space="preserve">Responder updated this value.</t>
      </text>
    </comment>
    <comment authorId="0" ref="E60">
      <text>
        <t xml:space="preserve">Responder updated this value.</t>
      </text>
    </comment>
    <comment authorId="0" ref="F60">
      <text>
        <t xml:space="preserve">Responder updated this value.</t>
      </text>
    </comment>
    <comment authorId="0" ref="G60">
      <text>
        <t xml:space="preserve">Responder updated this value.</t>
      </text>
    </comment>
    <comment authorId="0" ref="D62">
      <text>
        <t xml:space="preserve">Responder updated this value.</t>
      </text>
    </comment>
    <comment authorId="0" ref="E62">
      <text>
        <t xml:space="preserve">Responder updated this value.</t>
      </text>
    </comment>
    <comment authorId="0" ref="L62">
      <text>
        <t xml:space="preserve">Responder updated this value.</t>
      </text>
    </comment>
    <comment authorId="0" ref="N62">
      <text>
        <t xml:space="preserve">Responder updated this value.</t>
      </text>
    </comment>
    <comment authorId="0" ref="N63">
      <text>
        <t xml:space="preserve">Responder updated this value.</t>
      </text>
    </comment>
    <comment authorId="0" ref="L64">
      <text>
        <t xml:space="preserve">Responder updated this value.</t>
      </text>
    </comment>
    <comment authorId="0" ref="E65">
      <text>
        <t xml:space="preserve">Responder updated this value.</t>
      </text>
    </comment>
    <comment authorId="0" ref="F65">
      <text>
        <t xml:space="preserve">Responder updated this value.</t>
      </text>
    </comment>
    <comment authorId="0" ref="G65">
      <text>
        <t xml:space="preserve">Responder updated this value.</t>
      </text>
    </comment>
    <comment authorId="0" ref="L65">
      <text>
        <t xml:space="preserve">Responder updated this value.</t>
      </text>
    </comment>
    <comment authorId="0" ref="N65">
      <text>
        <t xml:space="preserve">Responder updated this value.</t>
      </text>
    </comment>
    <comment authorId="0" ref="L69">
      <text>
        <t xml:space="preserve">Responder updated this value.</t>
      </text>
    </comment>
    <comment authorId="0" ref="N69">
      <text>
        <t xml:space="preserve">Responder updated this value.</t>
      </text>
    </comment>
    <comment authorId="0" ref="F71">
      <text>
        <t xml:space="preserve">Responder updated this value.</t>
      </text>
    </comment>
    <comment authorId="0" ref="L71">
      <text>
        <t xml:space="preserve">Responder updated this value.</t>
      </text>
    </comment>
    <comment authorId="0" ref="C72">
      <text>
        <t xml:space="preserve">Responder updated this value.</t>
      </text>
    </comment>
    <comment authorId="0" ref="L72">
      <text>
        <t xml:space="preserve">Responder updated this value.</t>
      </text>
    </comment>
    <comment authorId="0" ref="C73">
      <text>
        <t xml:space="preserve">Responder updated this value.</t>
      </text>
    </comment>
    <comment authorId="0" ref="E73">
      <text>
        <t xml:space="preserve">Responder updated this value.</t>
      </text>
    </comment>
    <comment authorId="0" ref="L73">
      <text>
        <t xml:space="preserve">Responder updated this value.</t>
      </text>
    </comment>
    <comment authorId="0" ref="F74">
      <text>
        <t xml:space="preserve">Responder updated this value.</t>
      </text>
    </comment>
    <comment authorId="0" ref="G74">
      <text>
        <t xml:space="preserve">Responder updated this value.</t>
      </text>
    </comment>
    <comment authorId="0" ref="L74">
      <text>
        <t xml:space="preserve">Responder updated this value.</t>
      </text>
    </comment>
    <comment authorId="0" ref="N75">
      <text>
        <t xml:space="preserve">Responder updated this value.</t>
      </text>
    </comment>
    <comment authorId="0" ref="F77">
      <text>
        <t xml:space="preserve">Responder updated this value.</t>
      </text>
    </comment>
    <comment authorId="0" ref="F78">
      <text>
        <t xml:space="preserve">Responder updated this value.</t>
      </text>
    </comment>
    <comment authorId="0" ref="F79">
      <text>
        <t xml:space="preserve">Responder updated this value.</t>
      </text>
    </comment>
    <comment authorId="0" ref="F80">
      <text>
        <t xml:space="preserve">Responder updated this value.</t>
      </text>
    </comment>
    <comment authorId="0" ref="I81">
      <text>
        <t xml:space="preserve">Responder updated this value.</t>
      </text>
    </comment>
    <comment authorId="0" ref="M81">
      <text>
        <t xml:space="preserve">Responder updated this value.</t>
      </text>
    </comment>
    <comment authorId="0" ref="N81">
      <text>
        <t xml:space="preserve">Responder updated this value.</t>
      </text>
    </comment>
    <comment authorId="0" ref="D82">
      <text>
        <t xml:space="preserve">Responder updated this value.</t>
      </text>
    </comment>
    <comment authorId="0" ref="N82">
      <text>
        <t xml:space="preserve">Responder updated this value.</t>
      </text>
    </comment>
    <comment authorId="0" ref="I85">
      <text>
        <t xml:space="preserve">Responder updated this value.</t>
      </text>
    </comment>
    <comment authorId="0" ref="L85">
      <text>
        <t xml:space="preserve">Responder updated this value.</t>
      </text>
    </comment>
    <comment authorId="0" ref="F86">
      <text>
        <t xml:space="preserve">Responder updated this value.</t>
      </text>
    </comment>
    <comment authorId="0" ref="G86">
      <text>
        <t xml:space="preserve">Responder updated this value.</t>
      </text>
    </comment>
    <comment authorId="0" ref="L86">
      <text>
        <t xml:space="preserve">Responder updated this value.</t>
      </text>
    </comment>
    <comment authorId="0" ref="D87">
      <text>
        <t xml:space="preserve">Responder updated this value.</t>
      </text>
    </comment>
    <comment authorId="0" ref="F87">
      <text>
        <t xml:space="preserve">Responder updated this value.</t>
      </text>
    </comment>
    <comment authorId="0" ref="F88">
      <text>
        <t xml:space="preserve">Responder updated this value.</t>
      </text>
    </comment>
    <comment authorId="0" ref="G88">
      <text>
        <t xml:space="preserve">Responder updated this value.</t>
      </text>
    </comment>
    <comment authorId="0" ref="D89">
      <text>
        <t xml:space="preserve">Responder updated this value.</t>
      </text>
    </comment>
    <comment authorId="0" ref="E89">
      <text>
        <t xml:space="preserve">Responder updated this value.</t>
      </text>
    </comment>
    <comment authorId="0" ref="F89">
      <text>
        <t xml:space="preserve">Responder updated this value.</t>
      </text>
    </comment>
    <comment authorId="0" ref="L89">
      <text>
        <t xml:space="preserve">Responder updated this value.</t>
      </text>
    </comment>
    <comment authorId="0" ref="M89">
      <text>
        <t xml:space="preserve">Responder updated this value.</t>
      </text>
    </comment>
    <comment authorId="0" ref="N89">
      <text>
        <t xml:space="preserve">Responder updated this value.</t>
      </text>
    </comment>
    <comment authorId="0" ref="F90">
      <text>
        <t xml:space="preserve">Responder updated this value.</t>
      </text>
    </comment>
    <comment authorId="0" ref="E91">
      <text>
        <t xml:space="preserve">Responder updated this value.</t>
      </text>
    </comment>
    <comment authorId="0" ref="F91">
      <text>
        <t xml:space="preserve">Responder updated this value.</t>
      </text>
    </comment>
    <comment authorId="0" ref="I91">
      <text>
        <t xml:space="preserve">Responder updated this value.</t>
      </text>
    </comment>
    <comment authorId="0" ref="L91">
      <text>
        <t xml:space="preserve">Responder updated this value.</t>
      </text>
    </comment>
    <comment authorId="0" ref="E92">
      <text>
        <t xml:space="preserve">Responder updated this value.</t>
      </text>
    </comment>
    <comment authorId="0" ref="L92">
      <text>
        <t xml:space="preserve">Responder updated this value.</t>
      </text>
    </comment>
    <comment authorId="0" ref="G93">
      <text>
        <t xml:space="preserve">Responder updated this value.</t>
      </text>
    </comment>
    <comment authorId="0" ref="I93">
      <text>
        <t xml:space="preserve">Responder updated this value.</t>
      </text>
    </comment>
    <comment authorId="0" ref="J93">
      <text>
        <t xml:space="preserve">Responder updated this value.</t>
      </text>
    </comment>
    <comment authorId="0" ref="L93">
      <text>
        <t xml:space="preserve">Responder updated this value.</t>
      </text>
    </comment>
    <comment authorId="0" ref="M93">
      <text>
        <t xml:space="preserve">Responder updated this value.</t>
      </text>
    </comment>
    <comment authorId="0" ref="N93">
      <text>
        <t xml:space="preserve">Responder updated this value.</t>
      </text>
    </comment>
    <comment authorId="0" ref="J96">
      <text>
        <t xml:space="preserve">Responder updated this value.</t>
      </text>
    </comment>
    <comment authorId="0" ref="L96">
      <text>
        <t xml:space="preserve">Responder updated this value.</t>
      </text>
    </comment>
    <comment authorId="0" ref="N96">
      <text>
        <t xml:space="preserve">Responder updated this value.</t>
      </text>
    </comment>
    <comment authorId="0" ref="J98">
      <text>
        <t xml:space="preserve">Responder updated this value.</t>
      </text>
    </comment>
    <comment authorId="0" ref="L98">
      <text>
        <t xml:space="preserve">Responder updated this value.</t>
      </text>
    </comment>
    <comment authorId="0" ref="M98">
      <text>
        <t xml:space="preserve">Responder updated this value.</t>
      </text>
    </comment>
    <comment authorId="0" ref="N98">
      <text>
        <t xml:space="preserve">Responder updated this value.</t>
      </text>
    </comment>
    <comment authorId="0" ref="F102">
      <text>
        <t xml:space="preserve">Responder updated this value.</t>
      </text>
    </comment>
    <comment authorId="0" ref="L102">
      <text>
        <t xml:space="preserve">Responder updated this value.</t>
      </text>
    </comment>
    <comment authorId="0" ref="N103">
      <text>
        <t xml:space="preserve">Responder updated this value.</t>
      </text>
    </comment>
    <comment authorId="0" ref="C105">
      <text>
        <t xml:space="preserve">Responder updated this value.</t>
      </text>
    </comment>
    <comment authorId="0" ref="D105">
      <text>
        <t xml:space="preserve">Responder updated this value.</t>
      </text>
    </comment>
    <comment authorId="0" ref="N106">
      <text>
        <t xml:space="preserve">Responder updated this value.</t>
      </text>
    </comment>
    <comment authorId="0" ref="D108">
      <text>
        <t xml:space="preserve">Responder updated this value.</t>
      </text>
    </comment>
    <comment authorId="0" ref="E108">
      <text>
        <t xml:space="preserve">Responder updated this value.</t>
      </text>
    </comment>
    <comment authorId="0" ref="F108">
      <text>
        <t xml:space="preserve">Responder updated this value.</t>
      </text>
    </comment>
    <comment authorId="0" ref="G108">
      <text>
        <t xml:space="preserve">Responder updated this value.</t>
      </text>
    </comment>
    <comment authorId="0" ref="L108">
      <text>
        <t xml:space="preserve">Responder updated this value.</t>
      </text>
    </comment>
    <comment authorId="0" ref="D109">
      <text>
        <t xml:space="preserve">Responder updated this value.</t>
      </text>
    </comment>
    <comment authorId="0" ref="E109">
      <text>
        <t xml:space="preserve">Responder updated this value.</t>
      </text>
    </comment>
    <comment authorId="0" ref="F109">
      <text>
        <t xml:space="preserve">Responder updated this value.</t>
      </text>
    </comment>
    <comment authorId="0" ref="G109">
      <text>
        <t xml:space="preserve">Responder updated this value.</t>
      </text>
    </comment>
    <comment authorId="0" ref="L109">
      <text>
        <t xml:space="preserve">Responder updated this value.</t>
      </text>
    </comment>
    <comment authorId="0" ref="G110">
      <text>
        <t xml:space="preserve">Responder updated this value.</t>
      </text>
    </comment>
    <comment authorId="0" ref="L110">
      <text>
        <t xml:space="preserve">Responder updated this value.</t>
      </text>
    </comment>
    <comment authorId="0" ref="D111">
      <text>
        <t xml:space="preserve">Responder updated this value.</t>
      </text>
    </comment>
    <comment authorId="0" ref="G111">
      <text>
        <t xml:space="preserve">Responder updated this value.</t>
      </text>
    </comment>
    <comment authorId="0" ref="I111">
      <text>
        <t xml:space="preserve">Responder updated this value.</t>
      </text>
    </comment>
    <comment authorId="0" ref="L111">
      <text>
        <t xml:space="preserve">Responder updated this value.</t>
      </text>
    </comment>
    <comment authorId="0" ref="N111">
      <text>
        <t xml:space="preserve">Responder updated this value.</t>
      </text>
    </comment>
    <comment authorId="0" ref="C112">
      <text>
        <t xml:space="preserve">Responder updated this value.</t>
      </text>
    </comment>
    <comment authorId="0" ref="D112">
      <text>
        <t xml:space="preserve">Responder updated this value.</t>
      </text>
    </comment>
    <comment authorId="0" ref="G112">
      <text>
        <t xml:space="preserve">Responder updated this value.</t>
      </text>
    </comment>
    <comment authorId="0" ref="L112">
      <text>
        <t xml:space="preserve">Responder updated this value.</t>
      </text>
    </comment>
    <comment authorId="0" ref="E113">
      <text>
        <t xml:space="preserve">Responder updated this value.</t>
      </text>
    </comment>
    <comment authorId="0" ref="F113">
      <text>
        <t xml:space="preserve">Responder updated this value.</t>
      </text>
    </comment>
    <comment authorId="0" ref="G113">
      <text>
        <t xml:space="preserve">Responder updated this value.</t>
      </text>
    </comment>
    <comment authorId="0" ref="L113">
      <text>
        <t xml:space="preserve">Responder updated this value.</t>
      </text>
    </comment>
    <comment authorId="0" ref="F114">
      <text>
        <t xml:space="preserve">Responder updated this value.</t>
      </text>
    </comment>
    <comment authorId="0" ref="G114">
      <text>
        <t xml:space="preserve">Responder updated this value.</t>
      </text>
    </comment>
    <comment authorId="0" ref="L114">
      <text>
        <t xml:space="preserve">Responder updated this value.</t>
      </text>
    </comment>
    <comment authorId="0" ref="D115">
      <text>
        <t xml:space="preserve">Responder updated this value.</t>
      </text>
    </comment>
    <comment authorId="0" ref="E115">
      <text>
        <t xml:space="preserve">Responder updated this value.</t>
      </text>
    </comment>
    <comment authorId="0" ref="F115">
      <text>
        <t xml:space="preserve">Responder updated this value.</t>
      </text>
    </comment>
    <comment authorId="0" ref="G115">
      <text>
        <t xml:space="preserve">Responder updated this value.</t>
      </text>
    </comment>
    <comment authorId="0" ref="L115">
      <text>
        <t xml:space="preserve">Responder updated this value.</t>
      </text>
    </comment>
    <comment authorId="0" ref="D116">
      <text>
        <t xml:space="preserve">Responder updated this value.</t>
      </text>
    </comment>
    <comment authorId="0" ref="E116">
      <text>
        <t xml:space="preserve">Responder updated this value.</t>
      </text>
    </comment>
    <comment authorId="0" ref="F116">
      <text>
        <t xml:space="preserve">Responder updated this value.</t>
      </text>
    </comment>
    <comment authorId="0" ref="G116">
      <text>
        <t xml:space="preserve">Responder updated this value.</t>
      </text>
    </comment>
    <comment authorId="0" ref="L116">
      <text>
        <t xml:space="preserve">Responder updated this value.</t>
      </text>
    </comment>
    <comment authorId="0" ref="N116">
      <text>
        <t xml:space="preserve">Responder updated this value.</t>
      </text>
    </comment>
    <comment authorId="0" ref="C117">
      <text>
        <t xml:space="preserve">Responder updated this value.</t>
      </text>
    </comment>
    <comment authorId="0" ref="D117">
      <text>
        <t xml:space="preserve">Responder updated this value.</t>
      </text>
    </comment>
    <comment authorId="0" ref="E117">
      <text>
        <t xml:space="preserve">Responder updated this value.</t>
      </text>
    </comment>
    <comment authorId="0" ref="F117">
      <text>
        <t xml:space="preserve">Responder updated this value.</t>
      </text>
    </comment>
    <comment authorId="0" ref="G117">
      <text>
        <t xml:space="preserve">Responder updated this value.</t>
      </text>
    </comment>
    <comment authorId="0" ref="L117">
      <text>
        <t xml:space="preserve">Responder updated this value.</t>
      </text>
    </comment>
    <comment authorId="0" ref="C118">
      <text>
        <t xml:space="preserve">Responder updated this value.</t>
      </text>
    </comment>
    <comment authorId="0" ref="D118">
      <text>
        <t xml:space="preserve">Responder updated this value.</t>
      </text>
    </comment>
    <comment authorId="0" ref="F118">
      <text>
        <t xml:space="preserve">Responder updated this value.</t>
      </text>
    </comment>
    <comment authorId="0" ref="G118">
      <text>
        <t xml:space="preserve">Responder updated this value.</t>
      </text>
    </comment>
    <comment authorId="0" ref="L118">
      <text>
        <t xml:space="preserve">Responder updated this value.</t>
      </text>
    </comment>
    <comment authorId="0" ref="F119">
      <text>
        <t xml:space="preserve">Responder updated this value.</t>
      </text>
    </comment>
    <comment authorId="0" ref="G119">
      <text>
        <t xml:space="preserve">Responder updated this value.</t>
      </text>
    </comment>
    <comment authorId="0" ref="L119">
      <text>
        <t xml:space="preserve">Responder updated this value.</t>
      </text>
    </comment>
    <comment authorId="0" ref="D120">
      <text>
        <t xml:space="preserve">Responder updated this value.</t>
      </text>
    </comment>
    <comment authorId="0" ref="E120">
      <text>
        <t xml:space="preserve">Responder updated this value.</t>
      </text>
    </comment>
    <comment authorId="0" ref="G120">
      <text>
        <t xml:space="preserve">Responder updated this value.</t>
      </text>
    </comment>
    <comment authorId="0" ref="L120">
      <text>
        <t xml:space="preserve">Responder updated this value.</t>
      </text>
    </comment>
    <comment authorId="0" ref="N120">
      <text>
        <t xml:space="preserve">Responder updated this value.</t>
      </text>
    </comment>
    <comment authorId="0" ref="D121">
      <text>
        <t xml:space="preserve">Responder updated this value.</t>
      </text>
    </comment>
    <comment authorId="0" ref="E121">
      <text>
        <t xml:space="preserve">Responder updated this value.</t>
      </text>
    </comment>
    <comment authorId="0" ref="G121">
      <text>
        <t xml:space="preserve">Responder updated this value.</t>
      </text>
    </comment>
    <comment authorId="0" ref="L121">
      <text>
        <t xml:space="preserve">Responder updated this value.</t>
      </text>
    </comment>
    <comment authorId="0" ref="E122">
      <text>
        <t xml:space="preserve">Responder updated this value.</t>
      </text>
    </comment>
    <comment authorId="0" ref="G122">
      <text>
        <t xml:space="preserve">Responder updated this value.</t>
      </text>
    </comment>
    <comment authorId="0" ref="L122">
      <text>
        <t xml:space="preserve">Responder updated this value.</t>
      </text>
    </comment>
    <comment authorId="0" ref="C123">
      <text>
        <t xml:space="preserve">Responder updated this value.</t>
      </text>
    </comment>
    <comment authorId="0" ref="D123">
      <text>
        <t xml:space="preserve">Responder updated this value.</t>
      </text>
    </comment>
    <comment authorId="0" ref="E123">
      <text>
        <t xml:space="preserve">Responder updated this value.</t>
      </text>
    </comment>
    <comment authorId="0" ref="G123">
      <text>
        <t xml:space="preserve">Responder updated this value.</t>
      </text>
    </comment>
    <comment authorId="0" ref="L123">
      <text>
        <t xml:space="preserve">Responder updated this value.</t>
      </text>
    </comment>
    <comment authorId="0" ref="G124">
      <text>
        <t xml:space="preserve">Responder updated this value.</t>
      </text>
    </comment>
    <comment authorId="0" ref="L124">
      <text>
        <t xml:space="preserve">Responder updated this value.</t>
      </text>
    </comment>
    <comment authorId="0" ref="C125">
      <text>
        <t xml:space="preserve">Responder updated this value.</t>
      </text>
    </comment>
    <comment authorId="0" ref="D125">
      <text>
        <t xml:space="preserve">Responder updated this value.</t>
      </text>
    </comment>
    <comment authorId="0" ref="E125">
      <text>
        <t xml:space="preserve">Responder updated this value.</t>
      </text>
    </comment>
    <comment authorId="0" ref="F125">
      <text>
        <t xml:space="preserve">Responder updated this value.</t>
      </text>
    </comment>
    <comment authorId="0" ref="G125">
      <text>
        <t xml:space="preserve">Responder updated this value.</t>
      </text>
    </comment>
    <comment authorId="0" ref="L125">
      <text>
        <t xml:space="preserve">Responder updated this value.</t>
      </text>
    </comment>
    <comment authorId="0" ref="E126">
      <text>
        <t xml:space="preserve">Responder updated this value.</t>
      </text>
    </comment>
    <comment authorId="0" ref="F126">
      <text>
        <t xml:space="preserve">Responder updated this value.</t>
      </text>
    </comment>
    <comment authorId="0" ref="G126">
      <text>
        <t xml:space="preserve">Responder updated this value.</t>
      </text>
    </comment>
    <comment authorId="0" ref="L126">
      <text>
        <t xml:space="preserve">Responder updated this value.</t>
      </text>
    </comment>
    <comment authorId="0" ref="D127">
      <text>
        <t xml:space="preserve">Responder updated this value.</t>
      </text>
    </comment>
    <comment authorId="0" ref="E127">
      <text>
        <t xml:space="preserve">Responder updated this value.</t>
      </text>
    </comment>
    <comment authorId="0" ref="G127">
      <text>
        <t xml:space="preserve">Responder updated this value.</t>
      </text>
    </comment>
    <comment authorId="0" ref="L127">
      <text>
        <t xml:space="preserve">Responder updated this value.</t>
      </text>
    </comment>
    <comment authorId="0" ref="N127">
      <text>
        <t xml:space="preserve">Responder updated this value.</t>
      </text>
    </comment>
    <comment authorId="0" ref="G128">
      <text>
        <t xml:space="preserve">Responder updated this value.</t>
      </text>
    </comment>
    <comment authorId="0" ref="L128">
      <text>
        <t xml:space="preserve">Responder updated this value.</t>
      </text>
    </comment>
    <comment authorId="0" ref="C129">
      <text>
        <t xml:space="preserve">Responder updated this value.</t>
      </text>
    </comment>
    <comment authorId="0" ref="D129">
      <text>
        <t xml:space="preserve">Responder updated this value.</t>
      </text>
    </comment>
    <comment authorId="0" ref="G129">
      <text>
        <t xml:space="preserve">Responder updated this value.</t>
      </text>
    </comment>
    <comment authorId="0" ref="L129">
      <text>
        <t xml:space="preserve">Responder updated this value.</t>
      </text>
    </comment>
    <comment authorId="0" ref="N129">
      <text>
        <t xml:space="preserve">Responder updated this value.</t>
      </text>
    </comment>
    <comment authorId="0" ref="G130">
      <text>
        <t xml:space="preserve">Responder updated this value.</t>
      </text>
    </comment>
    <comment authorId="0" ref="L130">
      <text>
        <t xml:space="preserve">Responder updated this value.</t>
      </text>
    </comment>
    <comment authorId="0" ref="D131">
      <text>
        <t xml:space="preserve">Responder updated this value.</t>
      </text>
    </comment>
    <comment authorId="0" ref="E131">
      <text>
        <t xml:space="preserve">Responder updated this value.</t>
      </text>
    </comment>
    <comment authorId="0" ref="G131">
      <text>
        <t xml:space="preserve">Responder updated this value.</t>
      </text>
    </comment>
    <comment authorId="0" ref="L131">
      <text>
        <t xml:space="preserve">Responder updated this value.</t>
      </text>
    </comment>
    <comment authorId="0" ref="D132">
      <text>
        <t xml:space="preserve">Responder updated this value.</t>
      </text>
    </comment>
    <comment authorId="0" ref="G132">
      <text>
        <t xml:space="preserve">Responder updated this value.</t>
      </text>
    </comment>
    <comment authorId="0" ref="L132">
      <text>
        <t xml:space="preserve">Responder updated this value.</t>
      </text>
    </comment>
    <comment authorId="0" ref="N132">
      <text>
        <t xml:space="preserve">Responder updated this value.</t>
      </text>
    </comment>
    <comment authorId="0" ref="E133">
      <text>
        <t xml:space="preserve">Responder updated this value.</t>
      </text>
    </comment>
    <comment authorId="0" ref="F133">
      <text>
        <t xml:space="preserve">Responder updated this value.</t>
      </text>
    </comment>
    <comment authorId="0" ref="G133">
      <text>
        <t xml:space="preserve">Responder updated this value.</t>
      </text>
    </comment>
    <comment authorId="0" ref="L133">
      <text>
        <t xml:space="preserve">Responder updated this value.</t>
      </text>
    </comment>
    <comment authorId="0" ref="D134">
      <text>
        <t xml:space="preserve">Responder updated this value.</t>
      </text>
    </comment>
    <comment authorId="0" ref="E134">
      <text>
        <t xml:space="preserve">Responder updated this value.</t>
      </text>
    </comment>
    <comment authorId="0" ref="F134">
      <text>
        <t xml:space="preserve">Responder updated this value.</t>
      </text>
    </comment>
    <comment authorId="0" ref="G134">
      <text>
        <t xml:space="preserve">Responder updated this value.</t>
      </text>
    </comment>
    <comment authorId="0" ref="J134">
      <text>
        <t xml:space="preserve">Responder updated this value.</t>
      </text>
    </comment>
    <comment authorId="0" ref="L134">
      <text>
        <t xml:space="preserve">Responder updated this value.</t>
      </text>
    </comment>
    <comment authorId="0" ref="N134">
      <text>
        <t xml:space="preserve">Responder updated this value.</t>
      </text>
    </comment>
    <comment authorId="0" ref="E135">
      <text>
        <t xml:space="preserve">Responder updated this value.</t>
      </text>
    </comment>
    <comment authorId="0" ref="G135">
      <text>
        <t xml:space="preserve">Responder updated this value.</t>
      </text>
    </comment>
    <comment authorId="0" ref="L135">
      <text>
        <t xml:space="preserve">Responder updated this value.</t>
      </text>
    </comment>
    <comment authorId="0" ref="D136">
      <text>
        <t xml:space="preserve">Responder updated this value.</t>
      </text>
    </comment>
    <comment authorId="0" ref="G136">
      <text>
        <t xml:space="preserve">Responder updated this value.</t>
      </text>
    </comment>
    <comment authorId="0" ref="I136">
      <text>
        <t xml:space="preserve">Responder updated this value.</t>
      </text>
    </comment>
    <comment authorId="0" ref="L136">
      <text>
        <t xml:space="preserve">Responder updated this value.</t>
      </text>
    </comment>
    <comment authorId="0" ref="N136">
      <text>
        <t xml:space="preserve">Responder updated this value.</t>
      </text>
    </comment>
    <comment authorId="0" ref="C137">
      <text>
        <t xml:space="preserve">Responder updated this value.</t>
      </text>
    </comment>
    <comment authorId="0" ref="D137">
      <text>
        <t xml:space="preserve">Responder updated this value.</t>
      </text>
    </comment>
    <comment authorId="0" ref="G137">
      <text>
        <t xml:space="preserve">Responder updated this value.</t>
      </text>
    </comment>
    <comment authorId="0" ref="L137">
      <text>
        <t xml:space="preserve">Responder updated this value.</t>
      </text>
    </comment>
    <comment authorId="0" ref="B138">
      <text>
        <t xml:space="preserve">Responder updated this value.</t>
      </text>
    </comment>
    <comment authorId="0" ref="E138">
      <text>
        <t xml:space="preserve">Responder updated this value.</t>
      </text>
    </comment>
    <comment authorId="0" ref="F138">
      <text>
        <t xml:space="preserve">Responder updated this value.</t>
      </text>
    </comment>
    <comment authorId="0" ref="G138">
      <text>
        <t xml:space="preserve">Responder updated this value.</t>
      </text>
    </comment>
    <comment authorId="0" ref="I138">
      <text>
        <t xml:space="preserve">Responder updated this value.</t>
      </text>
    </comment>
    <comment authorId="0" ref="L138">
      <text>
        <t xml:space="preserve">Responder updated this value.</t>
      </text>
    </comment>
    <comment authorId="0" ref="N138">
      <text>
        <t xml:space="preserve">Responder updated this value.</t>
      </text>
    </comment>
    <comment authorId="0" ref="G139">
      <text>
        <t xml:space="preserve">Responder updated this value.</t>
      </text>
    </comment>
    <comment authorId="0" ref="L139">
      <text>
        <t xml:space="preserve">Responder updated this value.</t>
      </text>
    </comment>
    <comment authorId="0" ref="D140">
      <text>
        <t xml:space="preserve">Responder updated this value.</t>
      </text>
    </comment>
    <comment authorId="0" ref="E140">
      <text>
        <t xml:space="preserve">Responder updated this value.</t>
      </text>
    </comment>
    <comment authorId="0" ref="G140">
      <text>
        <t xml:space="preserve">Responder updated this value.</t>
      </text>
    </comment>
    <comment authorId="0" ref="L140">
      <text>
        <t xml:space="preserve">Responder updated this value.</t>
      </text>
    </comment>
    <comment authorId="0" ref="C141">
      <text>
        <t xml:space="preserve">Responder updated this value.</t>
      </text>
    </comment>
    <comment authorId="0" ref="D141">
      <text>
        <t xml:space="preserve">Responder updated this value.</t>
      </text>
    </comment>
    <comment authorId="0" ref="G141">
      <text>
        <t xml:space="preserve">Responder updated this value.</t>
      </text>
    </comment>
    <comment authorId="0" ref="L141">
      <text>
        <t xml:space="preserve">Responder updated this value.</t>
      </text>
    </comment>
    <comment authorId="0" ref="D142">
      <text>
        <t xml:space="preserve">Responder updated this value.</t>
      </text>
    </comment>
    <comment authorId="0" ref="E142">
      <text>
        <t xml:space="preserve">Responder updated this value.</t>
      </text>
    </comment>
    <comment authorId="0" ref="G142">
      <text>
        <t xml:space="preserve">Responder updated this value.</t>
      </text>
    </comment>
    <comment authorId="0" ref="I142">
      <text>
        <t xml:space="preserve">Responder updated this value.</t>
      </text>
    </comment>
    <comment authorId="0" ref="L142">
      <text>
        <t xml:space="preserve">Responder updated this value.</t>
      </text>
    </comment>
    <comment authorId="0" ref="N142">
      <text>
        <t xml:space="preserve">Responder updated this value.</t>
      </text>
    </comment>
    <comment authorId="0" ref="D143">
      <text>
        <t xml:space="preserve">Responder updated this value.</t>
      </text>
    </comment>
    <comment authorId="0" ref="F143">
      <text>
        <t xml:space="preserve">Responder updated this value.</t>
      </text>
    </comment>
    <comment authorId="0" ref="G143">
      <text>
        <t xml:space="preserve">Responder updated this value.</t>
      </text>
    </comment>
    <comment authorId="0" ref="L143">
      <text>
        <t xml:space="preserve">Responder updated this value.</t>
      </text>
    </comment>
    <comment authorId="0" ref="C144">
      <text>
        <t xml:space="preserve">Responder updated this value.</t>
      </text>
    </comment>
    <comment authorId="0" ref="D144">
      <text>
        <t xml:space="preserve">Responder updated this value.</t>
      </text>
    </comment>
    <comment authorId="0" ref="G144">
      <text>
        <t xml:space="preserve">Responder updated this value.</t>
      </text>
    </comment>
    <comment authorId="0" ref="L144">
      <text>
        <t xml:space="preserve">Responder updated this value.</t>
      </text>
    </comment>
    <comment authorId="0" ref="D145">
      <text>
        <t xml:space="preserve">Responder updated this value.</t>
      </text>
    </comment>
    <comment authorId="0" ref="E145">
      <text>
        <t xml:space="preserve">Responder updated this value.</t>
      </text>
    </comment>
    <comment authorId="0" ref="G145">
      <text>
        <t xml:space="preserve">Responder updated this value.</t>
      </text>
    </comment>
    <comment authorId="0" ref="L145">
      <text>
        <t xml:space="preserve">Responder updated this value.</t>
      </text>
    </comment>
    <comment authorId="0" ref="D146">
      <text>
        <t xml:space="preserve">Responder updated this value.</t>
      </text>
    </comment>
    <comment authorId="0" ref="E146">
      <text>
        <t xml:space="preserve">Responder updated this value.</t>
      </text>
    </comment>
    <comment authorId="0" ref="G146">
      <text>
        <t xml:space="preserve">Responder updated this value.</t>
      </text>
    </comment>
    <comment authorId="0" ref="L146">
      <text>
        <t xml:space="preserve">Responder updated this value.</t>
      </text>
    </comment>
    <comment authorId="0" ref="N146">
      <text>
        <t xml:space="preserve">Responder updated this value.</t>
      </text>
    </comment>
    <comment authorId="0" ref="F147">
      <text>
        <t xml:space="preserve">Responder updated this value.</t>
      </text>
    </comment>
    <comment authorId="0" ref="G147">
      <text>
        <t xml:space="preserve">Responder updated this value.</t>
      </text>
    </comment>
    <comment authorId="0" ref="L147">
      <text>
        <t xml:space="preserve">Responder updated this value.</t>
      </text>
    </comment>
    <comment authorId="0" ref="C148">
      <text>
        <t xml:space="preserve">Responder updated this value.</t>
      </text>
    </comment>
    <comment authorId="0" ref="D148">
      <text>
        <t xml:space="preserve">Responder updated this value.</t>
      </text>
    </comment>
    <comment authorId="0" ref="G148">
      <text>
        <t xml:space="preserve">Responder updated this value.</t>
      </text>
    </comment>
    <comment authorId="0" ref="L148">
      <text>
        <t xml:space="preserve">Responder updated this value.</t>
      </text>
    </comment>
    <comment authorId="0" ref="E149">
      <text>
        <t xml:space="preserve">Responder updated this value.</t>
      </text>
    </comment>
    <comment authorId="0" ref="G149">
      <text>
        <t xml:space="preserve">Responder updated this value.</t>
      </text>
    </comment>
    <comment authorId="0" ref="L149">
      <text>
        <t xml:space="preserve">Responder updated this value.</t>
      </text>
    </comment>
    <comment authorId="0" ref="D150">
      <text>
        <t xml:space="preserve">Responder updated this value.</t>
      </text>
    </comment>
    <comment authorId="0" ref="F150">
      <text>
        <t xml:space="preserve">Responder updated this value.</t>
      </text>
    </comment>
    <comment authorId="0" ref="G150">
      <text>
        <t xml:space="preserve">Responder updated this value.</t>
      </text>
    </comment>
    <comment authorId="0" ref="L150">
      <text>
        <t xml:space="preserve">Responder updated this value.</t>
      </text>
    </comment>
    <comment authorId="0" ref="D151">
      <text>
        <t xml:space="preserve">Responder updated this value.</t>
      </text>
    </comment>
    <comment authorId="0" ref="E151">
      <text>
        <t xml:space="preserve">Responder updated this value.</t>
      </text>
    </comment>
    <comment authorId="0" ref="F151">
      <text>
        <t xml:space="preserve">Responder updated this value.</t>
      </text>
    </comment>
    <comment authorId="0" ref="G151">
      <text>
        <t xml:space="preserve">Responder updated this value.</t>
      </text>
    </comment>
    <comment authorId="0" ref="L151">
      <text>
        <t xml:space="preserve">Responder updated this value.</t>
      </text>
    </comment>
    <comment authorId="0" ref="G153">
      <text>
        <t xml:space="preserve">Responder updated this value.</t>
      </text>
    </comment>
    <comment authorId="0" ref="L153">
      <text>
        <t xml:space="preserve">Responder updated this value.</t>
      </text>
    </comment>
    <comment authorId="0" ref="F154">
      <text>
        <t xml:space="preserve">Responder updated this value.</t>
      </text>
    </comment>
    <comment authorId="0" ref="N154">
      <text>
        <t xml:space="preserve">Responder updated this value.</t>
      </text>
    </comment>
    <comment authorId="0" ref="N155">
      <text>
        <t xml:space="preserve">Responder updated this value.</t>
      </text>
    </comment>
    <comment authorId="0" ref="L156">
      <text>
        <t xml:space="preserve">Responder updated this value.</t>
      </text>
    </comment>
    <comment authorId="0" ref="I157">
      <text>
        <t xml:space="preserve">Responder updated this value.</t>
      </text>
    </comment>
    <comment authorId="0" ref="J157">
      <text>
        <t xml:space="preserve">Responder updated this value.</t>
      </text>
    </comment>
    <comment authorId="0" ref="L157">
      <text>
        <t xml:space="preserve">Responder updated this value.</t>
      </text>
    </comment>
    <comment authorId="0" ref="M157">
      <text>
        <t xml:space="preserve">Responder updated this value.</t>
      </text>
    </comment>
    <comment authorId="0" ref="N157">
      <text>
        <t xml:space="preserve">Responder updated this value.</t>
      </text>
    </comment>
    <comment authorId="0" ref="C158">
      <text>
        <t xml:space="preserve">Responder updated this value.</t>
      </text>
    </comment>
    <comment authorId="0" ref="D158">
      <text>
        <t xml:space="preserve">Responder updated this value.</t>
      </text>
    </comment>
    <comment authorId="0" ref="F158">
      <text>
        <t xml:space="preserve">Responder updated this value.</t>
      </text>
    </comment>
    <comment authorId="0" ref="N158">
      <text>
        <t xml:space="preserve">Responder updated this value.</t>
      </text>
    </comment>
    <comment authorId="0" ref="F161">
      <text>
        <t xml:space="preserve">Responder updated this value.</t>
      </text>
    </comment>
    <comment authorId="0" ref="E162">
      <text>
        <t xml:space="preserve">Responder updated this value.</t>
      </text>
    </comment>
    <comment authorId="0" ref="F162">
      <text>
        <t xml:space="preserve">Responder updated this value.</t>
      </text>
    </comment>
    <comment authorId="0" ref="L162">
      <text>
        <t xml:space="preserve">Responder updated this value.</t>
      </text>
    </comment>
    <comment authorId="0" ref="M164">
      <text>
        <t xml:space="preserve">Responder updated this value.</t>
      </text>
    </comment>
    <comment authorId="0" ref="N164">
      <text>
        <t xml:space="preserve">Responder updated this value.</t>
      </text>
    </comment>
    <comment authorId="0" ref="F165">
      <text>
        <t xml:space="preserve">Responder updated this value.</t>
      </text>
    </comment>
    <comment authorId="0" ref="L165">
      <text>
        <t xml:space="preserve">Responder updated this value.</t>
      </text>
    </comment>
    <comment authorId="0" ref="F166">
      <text>
        <t xml:space="preserve">Responder updated this value.</t>
      </text>
    </comment>
    <comment authorId="0" ref="F167">
      <text>
        <t xml:space="preserve">Responder updated this value.</t>
      </text>
    </comment>
    <comment authorId="0" ref="C168">
      <text>
        <t xml:space="preserve">Responder updated this value.</t>
      </text>
    </comment>
    <comment authorId="0" ref="D168">
      <text>
        <t xml:space="preserve">Responder updated this value.</t>
      </text>
    </comment>
    <comment authorId="0" ref="E168">
      <text>
        <t xml:space="preserve">Responder updated this value.</t>
      </text>
    </comment>
    <comment authorId="0" ref="F168">
      <text>
        <t xml:space="preserve">Responder updated this value.</t>
      </text>
    </comment>
    <comment authorId="0" ref="G168">
      <text>
        <t xml:space="preserve">Responder updated this value.</t>
      </text>
    </comment>
    <comment authorId="0" ref="M168">
      <text>
        <t xml:space="preserve">Responder updated this value.</t>
      </text>
    </comment>
    <comment authorId="0" ref="N168">
      <text>
        <t xml:space="preserve">Responder updated this value.</t>
      </text>
    </comment>
    <comment authorId="0" ref="C169">
      <text>
        <t xml:space="preserve">Responder updated this value.</t>
      </text>
    </comment>
    <comment authorId="0" ref="D169">
      <text>
        <t xml:space="preserve">Responder updated this value.</t>
      </text>
    </comment>
    <comment authorId="0" ref="E169">
      <text>
        <t xml:space="preserve">Responder updated this value.</t>
      </text>
    </comment>
    <comment authorId="0" ref="F169">
      <text>
        <t xml:space="preserve">Responder updated this value.</t>
      </text>
    </comment>
    <comment authorId="0" ref="G169">
      <text>
        <t xml:space="preserve">Responder updated this value.</t>
      </text>
    </comment>
    <comment authorId="0" ref="J169">
      <text>
        <t xml:space="preserve">Responder updated this value.</t>
      </text>
    </comment>
    <comment authorId="0" ref="M169">
      <text>
        <t xml:space="preserve">Responder updated this value.</t>
      </text>
    </comment>
    <comment authorId="0" ref="N169">
      <text>
        <t xml:space="preserve">Responder updated this value.</t>
      </text>
    </comment>
    <comment authorId="0" ref="B170">
      <text>
        <t xml:space="preserve">Responder updated this value.</t>
      </text>
    </comment>
    <comment authorId="0" ref="E171">
      <text>
        <t xml:space="preserve">Responder updated this value.</t>
      </text>
    </comment>
    <comment authorId="0" ref="I171">
      <text>
        <t xml:space="preserve">Responder updated this value.</t>
      </text>
    </comment>
    <comment authorId="0" ref="J171">
      <text>
        <t xml:space="preserve">Responder updated this value.</t>
      </text>
    </comment>
    <comment authorId="0" ref="L171">
      <text>
        <t xml:space="preserve">Responder updated this value.</t>
      </text>
    </comment>
    <comment authorId="0" ref="N171">
      <text>
        <t xml:space="preserve">Responder updated this value.</t>
      </text>
    </comment>
    <comment authorId="0" ref="E173">
      <text>
        <t xml:space="preserve">Responder updated this value.</t>
      </text>
    </comment>
    <comment authorId="0" ref="L173">
      <text>
        <t xml:space="preserve">Responder updated this value.</t>
      </text>
    </comment>
    <comment authorId="0" ref="I174">
      <text>
        <t xml:space="preserve">Responder updated this value.</t>
      </text>
    </comment>
    <comment authorId="0" ref="J174">
      <text>
        <t xml:space="preserve">Responder updated this value.</t>
      </text>
    </comment>
    <comment authorId="0" ref="L174">
      <text>
        <t xml:space="preserve">Responder updated this value.</t>
      </text>
    </comment>
    <comment authorId="0" ref="N174">
      <text>
        <t xml:space="preserve">Responder updated this value.</t>
      </text>
    </comment>
    <comment authorId="0" ref="F175">
      <text>
        <t xml:space="preserve">Responder updated this value.</t>
      </text>
    </comment>
    <comment authorId="0" ref="J175">
      <text>
        <t xml:space="preserve">Responder updated this value.</t>
      </text>
    </comment>
    <comment authorId="0" ref="L175">
      <text>
        <t xml:space="preserve">Responder updated this value.</t>
      </text>
    </comment>
    <comment authorId="0" ref="N175">
      <text>
        <t xml:space="preserve">Responder updated this value.</t>
      </text>
    </comment>
    <comment authorId="0" ref="I176">
      <text>
        <t xml:space="preserve">Responder updated this value.</t>
      </text>
    </comment>
    <comment authorId="0" ref="L176">
      <text>
        <t xml:space="preserve">Responder updated this value.</t>
      </text>
    </comment>
    <comment authorId="0" ref="C178">
      <text>
        <t xml:space="preserve">Responder updated this value.</t>
      </text>
    </comment>
    <comment authorId="0" ref="J178">
      <text>
        <t xml:space="preserve">Responder updated this value.</t>
      </text>
    </comment>
    <comment authorId="0" ref="L178">
      <text>
        <t xml:space="preserve">Responder updated this value.</t>
      </text>
    </comment>
    <comment authorId="0" ref="M178">
      <text>
        <t xml:space="preserve">Responder updated this value.</t>
      </text>
    </comment>
    <comment authorId="0" ref="N178">
      <text>
        <t xml:space="preserve">Responder updated this value.</t>
      </text>
    </comment>
    <comment authorId="0" ref="L181">
      <text>
        <t xml:space="preserve">Responder updated this value.</t>
      </text>
    </comment>
    <comment authorId="0" ref="L182">
      <text>
        <t xml:space="preserve">Responder updated this value.</t>
      </text>
    </comment>
    <comment authorId="0" ref="D183">
      <text>
        <t xml:space="preserve">Responder updated this value.</t>
      </text>
    </comment>
    <comment authorId="0" ref="F183">
      <text>
        <t xml:space="preserve">Responder updated this value.</t>
      </text>
    </comment>
    <comment authorId="0" ref="L183">
      <text>
        <t xml:space="preserve">Responder updated this value.</t>
      </text>
    </comment>
    <comment authorId="0" ref="N183">
      <text>
        <t xml:space="preserve">Responder updated this value.</t>
      </text>
    </comment>
    <comment authorId="0" ref="F184">
      <text>
        <t xml:space="preserve">Responder updated this value.</t>
      </text>
    </comment>
    <comment authorId="0" ref="D185">
      <text>
        <t xml:space="preserve">Responder updated this value.</t>
      </text>
    </comment>
    <comment authorId="0" ref="F185">
      <text>
        <t xml:space="preserve">Responder updated this value.</t>
      </text>
    </comment>
    <comment authorId="0" ref="G185">
      <text>
        <t xml:space="preserve">Responder updated this value.</t>
      </text>
    </comment>
    <comment authorId="0" ref="L185">
      <text>
        <t xml:space="preserve">Responder updated this value.</t>
      </text>
    </comment>
    <comment authorId="0" ref="M185">
      <text>
        <t xml:space="preserve">Responder updated this value.</t>
      </text>
    </comment>
    <comment authorId="0" ref="F186">
      <text>
        <t xml:space="preserve">Responder updated this value.</t>
      </text>
    </comment>
    <comment authorId="0" ref="H186">
      <text>
        <t xml:space="preserve">Responder updated this value.</t>
      </text>
    </comment>
    <comment authorId="0" ref="J186">
      <text>
        <t xml:space="preserve">Responder updated this value.</t>
      </text>
    </comment>
    <comment authorId="0" ref="L186">
      <text>
        <t xml:space="preserve">Responder updated this value.</t>
      </text>
    </comment>
    <comment authorId="0" ref="M186">
      <text>
        <t xml:space="preserve">Responder updated this value.</t>
      </text>
    </comment>
    <comment authorId="0" ref="N186">
      <text>
        <t xml:space="preserve">Responder updated this value.</t>
      </text>
    </comment>
    <comment authorId="0" ref="F191">
      <text>
        <t xml:space="preserve">Responder updated this value.</t>
      </text>
    </comment>
    <comment authorId="0" ref="E192">
      <text>
        <t xml:space="preserve">Responder updated this value.</t>
      </text>
    </comment>
    <comment authorId="0" ref="L192">
      <text>
        <t xml:space="preserve">Responder updated this value.</t>
      </text>
    </comment>
    <comment authorId="0" ref="I193">
      <text>
        <t xml:space="preserve">Responder updated this value.</t>
      </text>
    </comment>
    <comment authorId="0" ref="J193">
      <text>
        <t xml:space="preserve">Responder updated this value.</t>
      </text>
    </comment>
    <comment authorId="0" ref="L193">
      <text>
        <t xml:space="preserve">Responder updated this value.</t>
      </text>
    </comment>
    <comment authorId="0" ref="N193">
      <text>
        <t xml:space="preserve">Responder updated this value.</t>
      </text>
    </comment>
    <comment authorId="0" ref="F194">
      <text>
        <t xml:space="preserve">Responder updated this value.</t>
      </text>
    </comment>
    <comment authorId="0" ref="L194">
      <text>
        <t xml:space="preserve">Responder updated this value.</t>
      </text>
    </comment>
    <comment authorId="0" ref="F195">
      <text>
        <t xml:space="preserve">Responder updated this value.</t>
      </text>
    </comment>
    <comment authorId="0" ref="L195">
      <text>
        <t xml:space="preserve">Responder updated this value.</t>
      </text>
    </comment>
    <comment authorId="0" ref="D197">
      <text>
        <t xml:space="preserve">Responder updated this value.</t>
      </text>
    </comment>
    <comment authorId="0" ref="E197">
      <text>
        <t xml:space="preserve">Responder updated this value.</t>
      </text>
    </comment>
    <comment authorId="0" ref="F197">
      <text>
        <t xml:space="preserve">Responder updated this value.</t>
      </text>
    </comment>
    <comment authorId="0" ref="B199">
      <text>
        <t xml:space="preserve">Responder updated this value.</t>
      </text>
    </comment>
    <comment authorId="0" ref="D199">
      <text>
        <t xml:space="preserve">Responder updated this value.</t>
      </text>
    </comment>
    <comment authorId="0" ref="E199">
      <text>
        <t xml:space="preserve">Responder updated this value.</t>
      </text>
    </comment>
    <comment authorId="0" ref="F199">
      <text>
        <t xml:space="preserve">Responder updated this value.</t>
      </text>
    </comment>
    <comment authorId="0" ref="N199">
      <text>
        <t xml:space="preserve">Responder updated this value.</t>
      </text>
    </comment>
    <comment authorId="0" ref="C201">
      <text>
        <t xml:space="preserve">Responder updated this value.</t>
      </text>
    </comment>
    <comment authorId="0" ref="D201">
      <text>
        <t xml:space="preserve">Responder updated this value.</t>
      </text>
    </comment>
    <comment authorId="0" ref="F201">
      <text>
        <t xml:space="preserve">Responder updated this value.</t>
      </text>
    </comment>
    <comment authorId="0" ref="G201">
      <text>
        <t xml:space="preserve">Responder updated this value.</t>
      </text>
    </comment>
    <comment authorId="0" ref="L201">
      <text>
        <t xml:space="preserve">Responder updated this value.</t>
      </text>
    </comment>
    <comment authorId="0" ref="G202">
      <text>
        <t xml:space="preserve">Responder updated this value.</t>
      </text>
    </comment>
    <comment authorId="0" ref="N205">
      <text>
        <t xml:space="preserve">Responder updated this value.</t>
      </text>
    </comment>
    <comment authorId="0" ref="N207">
      <text>
        <t xml:space="preserve">Responder updated this value.</t>
      </text>
    </comment>
    <comment authorId="0" ref="E210">
      <text>
        <t xml:space="preserve">Responder updated this value.</t>
      </text>
    </comment>
    <comment authorId="0" ref="L210">
      <text>
        <t xml:space="preserve">Responder updated this value.</t>
      </text>
    </comment>
    <comment authorId="0" ref="F211">
      <text>
        <t xml:space="preserve">Responder updated this value.</t>
      </text>
    </comment>
    <comment authorId="0" ref="L211">
      <text>
        <t xml:space="preserve">Responder updated this value.</t>
      </text>
    </comment>
    <comment authorId="0" ref="B212">
      <text>
        <t xml:space="preserve">Responder updated this value.</t>
      </text>
    </comment>
    <comment authorId="0" ref="D212">
      <text>
        <t xml:space="preserve">Responder updated this value.</t>
      </text>
    </comment>
    <comment authorId="0" ref="J212">
      <text>
        <t xml:space="preserve">Responder updated this value.</t>
      </text>
    </comment>
    <comment authorId="0" ref="L212">
      <text>
        <t xml:space="preserve">Responder updated this value.</t>
      </text>
    </comment>
    <comment authorId="0" ref="I213">
      <text>
        <t xml:space="preserve">Responder updated this value.</t>
      </text>
    </comment>
    <comment authorId="0" ref="L213">
      <text>
        <t xml:space="preserve">Responder updated this value.</t>
      </text>
    </comment>
    <comment authorId="0" ref="M213">
      <text>
        <t xml:space="preserve">Responder updated this value.</t>
      </text>
    </comment>
    <comment authorId="0" ref="N213">
      <text>
        <t xml:space="preserve">Responder updated this value.</t>
      </text>
    </comment>
    <comment authorId="0" ref="N214">
      <text>
        <t xml:space="preserve">Responder updated this value.</t>
      </text>
    </comment>
    <comment authorId="0" ref="F216">
      <text>
        <t xml:space="preserve">Responder updated this value.</t>
      </text>
    </comment>
    <comment authorId="0" ref="G216">
      <text>
        <t xml:space="preserve">Responder updated this value.</t>
      </text>
    </comment>
    <comment authorId="0" ref="F217">
      <text>
        <t xml:space="preserve">Responder updated this value.</t>
      </text>
    </comment>
    <comment authorId="0" ref="I218">
      <text>
        <t xml:space="preserve">Responder updated this value.</t>
      </text>
    </comment>
    <comment authorId="0" ref="M218">
      <text>
        <t xml:space="preserve">Responder updated this value.</t>
      </text>
    </comment>
    <comment authorId="0" ref="N218">
      <text>
        <t xml:space="preserve">Responder updated this value.</t>
      </text>
    </comment>
    <comment authorId="0" ref="C219">
      <text>
        <t xml:space="preserve">Responder updated this value.</t>
      </text>
    </comment>
    <comment authorId="0" ref="F219">
      <text>
        <t xml:space="preserve">Responder updated this value.</t>
      </text>
    </comment>
    <comment authorId="0" ref="G219">
      <text>
        <t xml:space="preserve">Responder updated this value.</t>
      </text>
    </comment>
    <comment authorId="0" ref="G220">
      <text>
        <t xml:space="preserve">Responder updated this value.</t>
      </text>
    </comment>
    <comment authorId="0" ref="N221">
      <text>
        <t xml:space="preserve">Responder updated this value.</t>
      </text>
    </comment>
    <comment authorId="0" ref="E222">
      <text>
        <t xml:space="preserve">Responder updated this value.</t>
      </text>
    </comment>
    <comment authorId="0" ref="G222">
      <text>
        <t xml:space="preserve">Responder updated this value.</t>
      </text>
    </comment>
    <comment authorId="0" ref="L222">
      <text>
        <t xml:space="preserve">Responder updated this value.</t>
      </text>
    </comment>
    <comment authorId="0" ref="C223">
      <text>
        <t xml:space="preserve">Responder updated this value.</t>
      </text>
    </comment>
    <comment authorId="0" ref="F223">
      <text>
        <t xml:space="preserve">Responder updated this value.</t>
      </text>
    </comment>
    <comment authorId="0" ref="G223">
      <text>
        <t xml:space="preserve">Responder updated this value.</t>
      </text>
    </comment>
    <comment authorId="0" ref="I224">
      <text>
        <t xml:space="preserve">Responder updated this value.</t>
      </text>
    </comment>
    <comment authorId="0" ref="L224">
      <text>
        <t xml:space="preserve">Responder updated this value.</t>
      </text>
    </comment>
    <comment authorId="0" ref="G225">
      <text>
        <t xml:space="preserve">Responder updated this value.</t>
      </text>
    </comment>
    <comment authorId="0" ref="L225">
      <text>
        <t xml:space="preserve">Responder updated this value.</t>
      </text>
    </comment>
    <comment authorId="0" ref="M225">
      <text>
        <t xml:space="preserve">Responder updated this value.</t>
      </text>
    </comment>
    <comment authorId="0" ref="N225">
      <text>
        <t xml:space="preserve">Responder updated this value.</t>
      </text>
    </comment>
    <comment authorId="0" ref="F226">
      <text>
        <t xml:space="preserve">Responder updated this value.</t>
      </text>
    </comment>
    <comment authorId="0" ref="L226">
      <text>
        <t xml:space="preserve">Responder updated this value.</t>
      </text>
    </comment>
    <comment authorId="0" ref="L227">
      <text>
        <t xml:space="preserve">Responder updated this value.</t>
      </text>
    </comment>
    <comment authorId="0" ref="F228">
      <text>
        <t xml:space="preserve">Responder updated this value.</t>
      </text>
    </comment>
    <comment authorId="0" ref="G228">
      <text>
        <t xml:space="preserve">Responder updated this value.</t>
      </text>
    </comment>
    <comment authorId="0" ref="L228">
      <text>
        <t xml:space="preserve">Responder updated this value.</t>
      </text>
    </comment>
    <comment authorId="0" ref="M228">
      <text>
        <t xml:space="preserve">Responder updated this value.</t>
      </text>
    </comment>
    <comment authorId="0" ref="G229">
      <text>
        <t xml:space="preserve">Responder updated this value.</t>
      </text>
    </comment>
    <comment authorId="0" ref="J229">
      <text>
        <t xml:space="preserve">Responder updated this value.</t>
      </text>
    </comment>
    <comment authorId="0" ref="F232">
      <text>
        <t xml:space="preserve">Responder updated this value.</t>
      </text>
    </comment>
    <comment authorId="0" ref="F234">
      <text>
        <t xml:space="preserve">Responder updated this value.</t>
      </text>
    </comment>
    <comment authorId="0" ref="L235">
      <text>
        <t xml:space="preserve">Responder updated this value.</t>
      </text>
    </comment>
    <comment authorId="0" ref="F236">
      <text>
        <t xml:space="preserve">Responder updated this value.</t>
      </text>
    </comment>
    <comment authorId="0" ref="G236">
      <text>
        <t xml:space="preserve">Responder updated this value.</t>
      </text>
    </comment>
    <comment authorId="0" ref="J236">
      <text>
        <t xml:space="preserve">Responder updated this value.</t>
      </text>
    </comment>
    <comment authorId="0" ref="L236">
      <text>
        <t xml:space="preserve">Responder updated this value.</t>
      </text>
    </comment>
    <comment authorId="0" ref="M236">
      <text>
        <t xml:space="preserve">Responder updated this value.</t>
      </text>
    </comment>
    <comment authorId="0" ref="N236">
      <text>
        <t xml:space="preserve">Responder updated this value.</t>
      </text>
    </comment>
    <comment authorId="0" ref="E237">
      <text>
        <t xml:space="preserve">Responder updated this value.</t>
      </text>
    </comment>
    <comment authorId="0" ref="F237">
      <text>
        <t xml:space="preserve">Responder updated this value.</t>
      </text>
    </comment>
    <comment authorId="0" ref="L237">
      <text>
        <t xml:space="preserve">Responder updated this value.</t>
      </text>
    </comment>
    <comment authorId="0" ref="F245">
      <text>
        <t xml:space="preserve">Responder updated this value.</t>
      </text>
    </comment>
    <comment authorId="0" ref="F248">
      <text>
        <t xml:space="preserve">Responder updated this value.</t>
      </text>
    </comment>
    <comment authorId="0" ref="N249">
      <text>
        <t xml:space="preserve">Responder updated this value.</t>
      </text>
    </comment>
    <comment authorId="0" ref="N256">
      <text>
        <t xml:space="preserve">Responder updated this value.</t>
      </text>
    </comment>
    <comment authorId="0" ref="F258">
      <text>
        <t xml:space="preserve">Responder updated this value.</t>
      </text>
    </comment>
    <comment authorId="0" ref="M258">
      <text>
        <t xml:space="preserve">Responder updated this value.</t>
      </text>
    </comment>
    <comment authorId="0" ref="I259">
      <text>
        <t xml:space="preserve">Responder updated this value.</t>
      </text>
    </comment>
    <comment authorId="0" ref="J259">
      <text>
        <t xml:space="preserve">Responder updated this value.</t>
      </text>
    </comment>
    <comment authorId="0" ref="L259">
      <text>
        <t xml:space="preserve">Responder updated this value.</t>
      </text>
    </comment>
    <comment authorId="0" ref="N259">
      <text>
        <t xml:space="preserve">Responder updated this value.</t>
      </text>
    </comment>
    <comment authorId="0" ref="G260">
      <text>
        <t xml:space="preserve">Responder updated this value.</t>
      </text>
    </comment>
    <comment authorId="0" ref="N262">
      <text>
        <t xml:space="preserve">Responder updated this value.</t>
      </text>
    </comment>
    <comment authorId="0" ref="I263">
      <text>
        <t xml:space="preserve">Responder updated this value.</t>
      </text>
    </comment>
    <comment authorId="0" ref="L263">
      <text>
        <t xml:space="preserve">Responder updated this value.</t>
      </text>
    </comment>
    <comment authorId="0" ref="D265">
      <text>
        <t xml:space="preserve">Responder updated this value.</t>
      </text>
    </comment>
    <comment authorId="0" ref="E265">
      <text>
        <t xml:space="preserve">Responder updated this value.</t>
      </text>
    </comment>
    <comment authorId="0" ref="I265">
      <text>
        <t xml:space="preserve">Responder updated this value.</t>
      </text>
    </comment>
    <comment authorId="0" ref="J265">
      <text>
        <t xml:space="preserve">Responder updated this value.</t>
      </text>
    </comment>
    <comment authorId="0" ref="L265">
      <text>
        <t xml:space="preserve">Responder updated this value.</t>
      </text>
    </comment>
    <comment authorId="0" ref="M265">
      <text>
        <t xml:space="preserve">Responder updated this value.</t>
      </text>
    </comment>
    <comment authorId="0" ref="I268">
      <text>
        <t xml:space="preserve">Responder updated this value.</t>
      </text>
    </comment>
    <comment authorId="0" ref="J268">
      <text>
        <t xml:space="preserve">Responder updated this value.</t>
      </text>
    </comment>
    <comment authorId="0" ref="L268">
      <text>
        <t xml:space="preserve">Responder updated this value.</t>
      </text>
    </comment>
    <comment authorId="0" ref="M268">
      <text>
        <t xml:space="preserve">Responder updated this value.</t>
      </text>
    </comment>
    <comment authorId="0" ref="N268">
      <text>
        <t xml:space="preserve">Responder updated this value.</t>
      </text>
    </comment>
    <comment authorId="0" ref="D270">
      <text>
        <t xml:space="preserve">Responder updated this value.</t>
      </text>
    </comment>
    <comment authorId="0" ref="J270">
      <text>
        <t xml:space="preserve">Responder updated this value.</t>
      </text>
    </comment>
    <comment authorId="0" ref="M270">
      <text>
        <t xml:space="preserve">Responder updated this value.</t>
      </text>
    </comment>
    <comment authorId="0" ref="L272">
      <text>
        <t xml:space="preserve">Responder updated this value.</t>
      </text>
    </comment>
    <comment authorId="0" ref="L276">
      <text>
        <t xml:space="preserve">Responder updated this value.</t>
      </text>
    </comment>
    <comment authorId="0" ref="C281">
      <text>
        <t xml:space="preserve">Responder updated this value.</t>
      </text>
    </comment>
    <comment authorId="0" ref="D281">
      <text>
        <t xml:space="preserve">Responder updated this value.</t>
      </text>
    </comment>
    <comment authorId="0" ref="C284">
      <text>
        <t xml:space="preserve">Responder updated this value.</t>
      </text>
    </comment>
    <comment authorId="0" ref="D284">
      <text>
        <t xml:space="preserve">Responder updated this value.</t>
      </text>
    </comment>
    <comment authorId="0" ref="E284">
      <text>
        <t xml:space="preserve">Responder updated this value.</t>
      </text>
    </comment>
    <comment authorId="0" ref="G284">
      <text>
        <t xml:space="preserve">Responder updated this value.</t>
      </text>
    </comment>
    <comment authorId="0" ref="J284">
      <text>
        <t xml:space="preserve">Responder updated this value.</t>
      </text>
    </comment>
    <comment authorId="0" ref="L284">
      <text>
        <t xml:space="preserve">Responder updated this value.</t>
      </text>
    </comment>
    <comment authorId="0" ref="M284">
      <text>
        <t xml:space="preserve">Responder updated this value.</t>
      </text>
    </comment>
    <comment authorId="0" ref="E285">
      <text>
        <t xml:space="preserve">Responder updated this value.</t>
      </text>
    </comment>
    <comment authorId="0" ref="I285">
      <text>
        <t xml:space="preserve">Responder updated this value.</t>
      </text>
    </comment>
    <comment authorId="0" ref="L285">
      <text>
        <t xml:space="preserve">Responder updated this value.</t>
      </text>
    </comment>
    <comment authorId="0" ref="L286">
      <text>
        <t xml:space="preserve">Responder updated this value.</t>
      </text>
    </comment>
    <comment authorId="0" ref="N286">
      <text>
        <t xml:space="preserve">Responder updated this value.</t>
      </text>
    </comment>
    <comment authorId="0" ref="C287">
      <text>
        <t xml:space="preserve">Responder updated this value.</t>
      </text>
    </comment>
    <comment authorId="0" ref="E287">
      <text>
        <t xml:space="preserve">Responder updated this value.</t>
      </text>
    </comment>
    <comment authorId="0" ref="L287">
      <text>
        <t xml:space="preserve">Responder updated this value.</t>
      </text>
    </comment>
    <comment authorId="0" ref="N287">
      <text>
        <t xml:space="preserve">Responder updated this value.</t>
      </text>
    </comment>
    <comment authorId="0" ref="E288">
      <text>
        <t xml:space="preserve">Responder updated this value.</t>
      </text>
    </comment>
    <comment authorId="0" ref="L288">
      <text>
        <t xml:space="preserve">Responder updated this value.</t>
      </text>
    </comment>
    <comment authorId="0" ref="F289">
      <text>
        <t xml:space="preserve">Responder updated this value.</t>
      </text>
    </comment>
    <comment authorId="0" ref="G289">
      <text>
        <t xml:space="preserve">Responder updated this value.</t>
      </text>
    </comment>
    <comment authorId="0" ref="M289">
      <text>
        <t xml:space="preserve">Responder updated this value.</t>
      </text>
    </comment>
    <comment authorId="0" ref="N289">
      <text>
        <t xml:space="preserve">Responder updated this value.</t>
      </text>
    </comment>
    <comment authorId="0" ref="E290">
      <text>
        <t xml:space="preserve">Responder updated this value.</t>
      </text>
    </comment>
    <comment authorId="0" ref="J290">
      <text>
        <t xml:space="preserve">Responder updated this value.</t>
      </text>
    </comment>
    <comment authorId="0" ref="L290">
      <text>
        <t xml:space="preserve">Responder updated this value.</t>
      </text>
    </comment>
    <comment authorId="0" ref="I291">
      <text>
        <t xml:space="preserve">Responder updated this value.</t>
      </text>
    </comment>
    <comment authorId="0" ref="L291">
      <text>
        <t xml:space="preserve">Responder updated this value.</t>
      </text>
    </comment>
    <comment authorId="0" ref="E293">
      <text>
        <t xml:space="preserve">Responder updated this value.</t>
      </text>
    </comment>
    <comment authorId="0" ref="J293">
      <text>
        <t xml:space="preserve">Responder updated this value.</t>
      </text>
    </comment>
    <comment authorId="0" ref="L293">
      <text>
        <t xml:space="preserve">Responder updated this value.</t>
      </text>
    </comment>
    <comment authorId="0" ref="N293">
      <text>
        <t xml:space="preserve">Responder updated this value.</t>
      </text>
    </comment>
    <comment authorId="0" ref="E294">
      <text>
        <t xml:space="preserve">Responder updated this value.</t>
      </text>
    </comment>
    <comment authorId="0" ref="I294">
      <text>
        <t xml:space="preserve">Responder updated this value.</t>
      </text>
    </comment>
    <comment authorId="0" ref="J294">
      <text>
        <t xml:space="preserve">Responder updated this value.</t>
      </text>
    </comment>
    <comment authorId="0" ref="L294">
      <text>
        <t xml:space="preserve">Responder updated this value.</t>
      </text>
    </comment>
    <comment authorId="0" ref="N294">
      <text>
        <t xml:space="preserve">Responder updated this value.</t>
      </text>
    </comment>
    <comment authorId="0" ref="F295">
      <text>
        <t xml:space="preserve">Responder updated this value.</t>
      </text>
    </comment>
    <comment authorId="0" ref="I295">
      <text>
        <t xml:space="preserve">Responder updated this value.</t>
      </text>
    </comment>
    <comment authorId="0" ref="J295">
      <text>
        <t xml:space="preserve">Responder updated this value.</t>
      </text>
    </comment>
    <comment authorId="0" ref="L295">
      <text>
        <t xml:space="preserve">Responder updated this value.</t>
      </text>
    </comment>
    <comment authorId="0" ref="N295">
      <text>
        <t xml:space="preserve">Responder updated this value.</t>
      </text>
    </comment>
    <comment authorId="0" ref="F296">
      <text>
        <t xml:space="preserve">Responder updated this value.</t>
      </text>
    </comment>
    <comment authorId="0" ref="J296">
      <text>
        <t xml:space="preserve">Responder updated this value.</t>
      </text>
    </comment>
    <comment authorId="0" ref="L296">
      <text>
        <t xml:space="preserve">Responder updated this value.</t>
      </text>
    </comment>
    <comment authorId="0" ref="N296">
      <text>
        <t xml:space="preserve">Responder updated this value.</t>
      </text>
    </comment>
    <comment authorId="0" ref="F297">
      <text>
        <t xml:space="preserve">Responder updated this value.</t>
      </text>
    </comment>
    <comment authorId="0" ref="G297">
      <text>
        <t xml:space="preserve">Responder updated this value.</t>
      </text>
    </comment>
    <comment authorId="0" ref="I297">
      <text>
        <t xml:space="preserve">Responder updated this value.</t>
      </text>
    </comment>
    <comment authorId="0" ref="L297">
      <text>
        <t xml:space="preserve">Responder updated this value.</t>
      </text>
    </comment>
    <comment authorId="0" ref="C298">
      <text>
        <t xml:space="preserve">Responder updated this value.</t>
      </text>
    </comment>
    <comment authorId="0" ref="D298">
      <text>
        <t xml:space="preserve">Responder updated this value.</t>
      </text>
    </comment>
    <comment authorId="0" ref="L298">
      <text>
        <t xml:space="preserve">Responder updated this value.</t>
      </text>
    </comment>
    <comment authorId="0" ref="N298">
      <text>
        <t xml:space="preserve">Responder updated this value.</t>
      </text>
    </comment>
    <comment authorId="0" ref="C299">
      <text>
        <t xml:space="preserve">Responder updated this value.</t>
      </text>
    </comment>
    <comment authorId="0" ref="J299">
      <text>
        <t xml:space="preserve">Responder updated this value.</t>
      </text>
    </comment>
    <comment authorId="0" ref="L299">
      <text>
        <t xml:space="preserve">Responder updated this value.</t>
      </text>
    </comment>
    <comment authorId="0" ref="M299">
      <text>
        <t xml:space="preserve">Responder updated this value.</t>
      </text>
    </comment>
    <comment authorId="0" ref="N299">
      <text>
        <t xml:space="preserve">Responder updated this value.</t>
      </text>
    </comment>
    <comment authorId="0" ref="F300">
      <text>
        <t xml:space="preserve">Responder updated this value.</t>
      </text>
    </comment>
    <comment authorId="0" ref="I301">
      <text>
        <t xml:space="preserve">Responder updated this value.</t>
      </text>
    </comment>
    <comment authorId="0" ref="L301">
      <text>
        <t xml:space="preserve">Responder updated this value.</t>
      </text>
    </comment>
    <comment authorId="0" ref="D302">
      <text>
        <t xml:space="preserve">Responder updated this value.</t>
      </text>
    </comment>
    <comment authorId="0" ref="F302">
      <text>
        <t xml:space="preserve">Responder updated this value.</t>
      </text>
    </comment>
    <comment authorId="0" ref="J302">
      <text>
        <t xml:space="preserve">Responder updated this value.</t>
      </text>
    </comment>
    <comment authorId="0" ref="L302">
      <text>
        <t xml:space="preserve">Responder updated this value.</t>
      </text>
    </comment>
    <comment authorId="0" ref="M302">
      <text>
        <t xml:space="preserve">Responder updated this value.</t>
      </text>
    </comment>
    <comment authorId="0" ref="N302">
      <text>
        <t xml:space="preserve">Responder updated this value.</t>
      </text>
    </comment>
    <comment authorId="0" ref="D303">
      <text>
        <t xml:space="preserve">Responder updated this value.</t>
      </text>
    </comment>
    <comment authorId="0" ref="E303">
      <text>
        <t xml:space="preserve">Responder updated this value.</t>
      </text>
    </comment>
    <comment authorId="0" ref="L303">
      <text>
        <t xml:space="preserve">Responder updated this value.</t>
      </text>
    </comment>
    <comment authorId="0" ref="F304">
      <text>
        <t xml:space="preserve">Responder updated this value.</t>
      </text>
    </comment>
    <comment authorId="0" ref="E309">
      <text>
        <t xml:space="preserve">Responder updated this value.</t>
      </text>
    </comment>
    <comment authorId="0" ref="F309">
      <text>
        <t xml:space="preserve">Responder updated this value.</t>
      </text>
    </comment>
    <comment authorId="0" ref="I309">
      <text>
        <t xml:space="preserve">Responder updated this value.</t>
      </text>
    </comment>
    <comment authorId="0" ref="J309">
      <text>
        <t xml:space="preserve">Responder updated this value.</t>
      </text>
    </comment>
    <comment authorId="0" ref="L309">
      <text>
        <t xml:space="preserve">Responder updated this value.</t>
      </text>
    </comment>
    <comment authorId="0" ref="N309">
      <text>
        <t xml:space="preserve">Responder updated this value.</t>
      </text>
    </comment>
    <comment authorId="0" ref="N311">
      <text>
        <t xml:space="preserve">Responder updated this value.</t>
      </text>
    </comment>
    <comment authorId="0" ref="F312">
      <text>
        <t xml:space="preserve">Responder updated this value.</t>
      </text>
    </comment>
    <comment authorId="0" ref="L312">
      <text>
        <t xml:space="preserve">Responder updated this value.</t>
      </text>
    </comment>
    <comment authorId="0" ref="F316">
      <text>
        <t xml:space="preserve">Responder updated this value.</t>
      </text>
    </comment>
    <comment authorId="0" ref="G316">
      <text>
        <t xml:space="preserve">Responder updated this value.</t>
      </text>
    </comment>
    <comment authorId="0" ref="G317">
      <text>
        <t xml:space="preserve">Responder updated this value.</t>
      </text>
    </comment>
    <comment authorId="0" ref="I317">
      <text>
        <t xml:space="preserve">Responder updated this value.</t>
      </text>
    </comment>
    <comment authorId="0" ref="J317">
      <text>
        <t xml:space="preserve">Responder updated this value.</t>
      </text>
    </comment>
    <comment authorId="0" ref="L317">
      <text>
        <t xml:space="preserve">Responder updated this value.</t>
      </text>
    </comment>
    <comment authorId="0" ref="M317">
      <text>
        <t xml:space="preserve">Responder updated this value.</t>
      </text>
    </comment>
    <comment authorId="0" ref="G318">
      <text>
        <t xml:space="preserve">Responder updated this value.</t>
      </text>
    </comment>
    <comment authorId="0" ref="L318">
      <text>
        <t xml:space="preserve">Responder updated this value.</t>
      </text>
    </comment>
    <comment authorId="0" ref="M318">
      <text>
        <t xml:space="preserve">Responder updated this value.</t>
      </text>
    </comment>
    <comment authorId="0" ref="N318">
      <text>
        <t xml:space="preserve">Responder updated this value.</t>
      </text>
    </comment>
    <comment authorId="0" ref="L319">
      <text>
        <t xml:space="preserve">Responder updated this value.</t>
      </text>
    </comment>
    <comment authorId="0" ref="F322">
      <text>
        <t xml:space="preserve">Responder updated this value.</t>
      </text>
    </comment>
    <comment authorId="0" ref="F324">
      <text>
        <t xml:space="preserve">Responder updated this value.</t>
      </text>
    </comment>
    <comment authorId="0" ref="F325">
      <text>
        <t xml:space="preserve">Responder updated this value.</t>
      </text>
    </comment>
    <comment authorId="0" ref="I325">
      <text>
        <t xml:space="preserve">Responder updated this value.</t>
      </text>
    </comment>
    <comment authorId="0" ref="J325">
      <text>
        <t xml:space="preserve">Responder updated this value.</t>
      </text>
    </comment>
    <comment authorId="0" ref="L325">
      <text>
        <t xml:space="preserve">Responder updated this value.</t>
      </text>
    </comment>
    <comment authorId="0" ref="M325">
      <text>
        <t xml:space="preserve">Responder updated this value.</t>
      </text>
    </comment>
    <comment authorId="0" ref="N325">
      <text>
        <t xml:space="preserve">Responder updated this value.</t>
      </text>
    </comment>
    <comment authorId="0" ref="F328">
      <text>
        <t xml:space="preserve">Responder updated this value.</t>
      </text>
    </comment>
    <comment authorId="0" ref="F330">
      <text>
        <t xml:space="preserve">Responder updated this value.</t>
      </text>
    </comment>
    <comment authorId="0" ref="F331">
      <text>
        <t xml:space="preserve">Responder updated this value.</t>
      </text>
    </comment>
    <comment authorId="0" ref="L331">
      <text>
        <t xml:space="preserve">Responder updated this value.</t>
      </text>
    </comment>
    <comment authorId="0" ref="F332">
      <text>
        <t xml:space="preserve">Responder updated this value.</t>
      </text>
    </comment>
    <comment authorId="0" ref="L332">
      <text>
        <t xml:space="preserve">Responder updated this value.</t>
      </text>
    </comment>
    <comment authorId="0" ref="J334">
      <text>
        <t xml:space="preserve">Responder updated this value.</t>
      </text>
    </comment>
    <comment authorId="0" ref="L334">
      <text>
        <t xml:space="preserve">Responder updated this value.</t>
      </text>
    </comment>
    <comment authorId="0" ref="M334">
      <text>
        <t xml:space="preserve">Responder updated this value.</t>
      </text>
    </comment>
    <comment authorId="0" ref="N334">
      <text>
        <t xml:space="preserve">Responder updated this value.</t>
      </text>
    </comment>
    <comment authorId="0" ref="F335">
      <text>
        <t xml:space="preserve">Responder updated this value.</t>
      </text>
    </comment>
    <comment authorId="0" ref="N335">
      <text>
        <t xml:space="preserve">Responder updated this value.</t>
      </text>
    </comment>
    <comment authorId="0" ref="F342">
      <text>
        <t xml:space="preserve">Responder updated this value.</t>
      </text>
    </comment>
    <comment authorId="0" ref="L342">
      <text>
        <t xml:space="preserve">Responder updated this value.</t>
      </text>
    </comment>
    <comment authorId="0" ref="F343">
      <text>
        <t xml:space="preserve">Responder updated this value.</t>
      </text>
    </comment>
    <comment authorId="0" ref="F344">
      <text>
        <t xml:space="preserve">Responder updated this value.</t>
      </text>
    </comment>
    <comment authorId="0" ref="F346">
      <text>
        <t xml:space="preserve">Responder updated this value.</t>
      </text>
    </comment>
    <comment authorId="0" ref="N346">
      <text>
        <t xml:space="preserve">Responder updated this value.</t>
      </text>
    </comment>
    <comment authorId="0" ref="L347">
      <text>
        <t xml:space="preserve">Responder updated this value.</t>
      </text>
    </comment>
    <comment authorId="0" ref="L348">
      <text>
        <t xml:space="preserve">Responder updated this value.</t>
      </text>
    </comment>
    <comment authorId="0" ref="D349">
      <text>
        <t xml:space="preserve">Responder updated this value.</t>
      </text>
    </comment>
    <comment authorId="0" ref="F349">
      <text>
        <t xml:space="preserve">Responder updated this value.</t>
      </text>
    </comment>
    <comment authorId="0" ref="F350">
      <text>
        <t xml:space="preserve">Responder updated this value.</t>
      </text>
    </comment>
    <comment authorId="0" ref="I350">
      <text>
        <t xml:space="preserve">Responder updated this value.</t>
      </text>
    </comment>
    <comment authorId="0" ref="J350">
      <text>
        <t xml:space="preserve">Responder updated this value.</t>
      </text>
    </comment>
    <comment authorId="0" ref="L350">
      <text>
        <t xml:space="preserve">Responder updated this value.</t>
      </text>
    </comment>
    <comment authorId="0" ref="N350">
      <text>
        <t xml:space="preserve">Responder updated this value.</t>
      </text>
    </comment>
    <comment authorId="0" ref="J352">
      <text>
        <t xml:space="preserve">Responder updated this value.</t>
      </text>
    </comment>
    <comment authorId="0" ref="L352">
      <text>
        <t xml:space="preserve">Responder updated this value.</t>
      </text>
    </comment>
    <comment authorId="0" ref="N352">
      <text>
        <t xml:space="preserve">Responder updated this value.</t>
      </text>
    </comment>
    <comment authorId="0" ref="C353">
      <text>
        <t xml:space="preserve">Responder updated this value.</t>
      </text>
    </comment>
    <comment authorId="0" ref="D353">
      <text>
        <t xml:space="preserve">Responder updated this value.</t>
      </text>
    </comment>
    <comment authorId="0" ref="F353">
      <text>
        <t xml:space="preserve">Responder updated this value.</t>
      </text>
    </comment>
    <comment authorId="0" ref="I353">
      <text>
        <t xml:space="preserve">Responder updated this value.</t>
      </text>
    </comment>
    <comment authorId="0" ref="L353">
      <text>
        <t xml:space="preserve">Responder updated this value.</t>
      </text>
    </comment>
    <comment authorId="0" ref="C355">
      <text>
        <t xml:space="preserve">Responder updated this value.</t>
      </text>
    </comment>
    <comment authorId="0" ref="I355">
      <text>
        <t xml:space="preserve">Responder updated this value.</t>
      </text>
    </comment>
    <comment authorId="0" ref="J355">
      <text>
        <t xml:space="preserve">Responder updated this value.</t>
      </text>
    </comment>
    <comment authorId="0" ref="L355">
      <text>
        <t xml:space="preserve">Responder updated this value.</t>
      </text>
    </comment>
    <comment authorId="0" ref="M355">
      <text>
        <t xml:space="preserve">Responder updated this value.</t>
      </text>
    </comment>
    <comment authorId="0" ref="N355">
      <text>
        <t xml:space="preserve">Responder updated this value.</t>
      </text>
    </comment>
    <comment authorId="0" ref="G356">
      <text>
        <t xml:space="preserve">Responder updated this value.</t>
      </text>
    </comment>
    <comment authorId="0" ref="L356">
      <text>
        <t xml:space="preserve">Responder updated this value.</t>
      </text>
    </comment>
    <comment authorId="0" ref="C360">
      <text>
        <t xml:space="preserve">Responder updated this value.</t>
      </text>
    </comment>
    <comment authorId="0" ref="D360">
      <text>
        <t xml:space="preserve">Responder updated this value.</t>
      </text>
    </comment>
    <comment authorId="0" ref="F360">
      <text>
        <t xml:space="preserve">Responder updated this value.</t>
      </text>
    </comment>
    <comment authorId="0" ref="N360">
      <text>
        <t xml:space="preserve">Responder updated this value.</t>
      </text>
    </comment>
    <comment authorId="0" ref="G362">
      <text>
        <t xml:space="preserve">Responder updated this value.</t>
      </text>
    </comment>
    <comment authorId="0" ref="F364">
      <text>
        <t xml:space="preserve">Responder updated this value.</t>
      </text>
    </comment>
    <comment authorId="0" ref="G364">
      <text>
        <t xml:space="preserve">Responder updated this value.</t>
      </text>
    </comment>
    <comment authorId="0" ref="J364">
      <text>
        <t xml:space="preserve">Responder updated this value.</t>
      </text>
    </comment>
    <comment authorId="0" ref="L364">
      <text>
        <t xml:space="preserve">Responder updated this value.</t>
      </text>
    </comment>
    <comment authorId="0" ref="M364">
      <text>
        <t xml:space="preserve">Responder updated this value.</t>
      </text>
    </comment>
    <comment authorId="0" ref="N364">
      <text>
        <t xml:space="preserve">Responder updated this value.</t>
      </text>
    </comment>
    <comment authorId="0" ref="L365">
      <text>
        <t xml:space="preserve">Responder updated this value.</t>
      </text>
    </comment>
    <comment authorId="0" ref="F369">
      <text>
        <t xml:space="preserve">Responder updated this value.</t>
      </text>
    </comment>
    <comment authorId="0" ref="F372">
      <text>
        <t xml:space="preserve">Responder updated this value.</t>
      </text>
    </comment>
    <comment authorId="0" ref="L372">
      <text>
        <t xml:space="preserve">Responder updated this value.</t>
      </text>
    </comment>
    <comment authorId="0" ref="M372">
      <text>
        <t xml:space="preserve">Responder updated this value.</t>
      </text>
    </comment>
    <comment authorId="0" ref="N372">
      <text>
        <t xml:space="preserve">Responder updated this value.</t>
      </text>
    </comment>
    <comment authorId="0" ref="F373">
      <text>
        <t xml:space="preserve">Responder updated this value.</t>
      </text>
    </comment>
    <comment authorId="0" ref="F375">
      <text>
        <t xml:space="preserve">Responder updated this value.</t>
      </text>
    </comment>
    <comment authorId="0" ref="F376">
      <text>
        <t xml:space="preserve">Responder updated this value.</t>
      </text>
    </comment>
    <comment authorId="0" ref="F378">
      <text>
        <t xml:space="preserve">Responder updated this value.</t>
      </text>
    </comment>
    <comment authorId="0" ref="G378">
      <text>
        <t xml:space="preserve">Responder updated this value.</t>
      </text>
    </comment>
    <comment authorId="0" ref="F379">
      <text>
        <t xml:space="preserve">Responder updated this value.</t>
      </text>
    </comment>
    <comment authorId="0" ref="I379">
      <text>
        <t xml:space="preserve">Responder updated this value.</t>
      </text>
    </comment>
    <comment authorId="0" ref="J379">
      <text>
        <t xml:space="preserve">Responder updated this value.</t>
      </text>
    </comment>
    <comment authorId="0" ref="L379">
      <text>
        <t xml:space="preserve">Responder updated this value.</t>
      </text>
    </comment>
    <comment authorId="0" ref="N379">
      <text>
        <t xml:space="preserve">Responder updated this value.</t>
      </text>
    </comment>
    <comment authorId="0" ref="C381">
      <text>
        <t xml:space="preserve">Responder updated this value.</t>
      </text>
    </comment>
    <comment authorId="0" ref="D381">
      <text>
        <t xml:space="preserve">Responder updated this value.</t>
      </text>
    </comment>
    <comment authorId="0" ref="E381">
      <text>
        <t xml:space="preserve">Responder updated this value.</t>
      </text>
    </comment>
    <comment authorId="0" ref="F381">
      <text>
        <t xml:space="preserve">Responder updated this value.</t>
      </text>
    </comment>
    <comment authorId="0" ref="G381">
      <text>
        <t xml:space="preserve">Responder updated this value.</t>
      </text>
    </comment>
    <comment authorId="0" ref="M381">
      <text>
        <t xml:space="preserve">Responder updated this value.</t>
      </text>
    </comment>
    <comment authorId="0" ref="N381">
      <text>
        <t xml:space="preserve">Responder updated this value.</t>
      </text>
    </comment>
    <comment authorId="0" ref="D382">
      <text>
        <t xml:space="preserve">Responder updated this value.</t>
      </text>
    </comment>
    <comment authorId="0" ref="F382">
      <text>
        <t xml:space="preserve">Responder updated this value.</t>
      </text>
    </comment>
    <comment authorId="0" ref="J382">
      <text>
        <t xml:space="preserve">Responder updated this value.</t>
      </text>
    </comment>
    <comment authorId="0" ref="L382">
      <text>
        <t xml:space="preserve">Responder updated this value.</t>
      </text>
    </comment>
    <comment authorId="0" ref="B383">
      <text>
        <t xml:space="preserve">Responder updated this value.</t>
      </text>
    </comment>
    <comment authorId="0" ref="F384">
      <text>
        <t xml:space="preserve">Responder updated this value.</t>
      </text>
    </comment>
    <comment authorId="0" ref="F386">
      <text>
        <t xml:space="preserve">Responder updated this value.</t>
      </text>
    </comment>
    <comment authorId="0" ref="F388">
      <text>
        <t xml:space="preserve">Responder updated this value.</t>
      </text>
    </comment>
    <comment authorId="0" ref="C389">
      <text>
        <t xml:space="preserve">Responder updated this value.</t>
      </text>
    </comment>
    <comment authorId="0" ref="D389">
      <text>
        <t xml:space="preserve">Responder updated this value.</t>
      </text>
    </comment>
    <comment authorId="0" ref="F389">
      <text>
        <t xml:space="preserve">Responder updated this value.</t>
      </text>
    </comment>
    <comment authorId="0" ref="G389">
      <text>
        <t xml:space="preserve">Responder updated this value.</t>
      </text>
    </comment>
    <comment authorId="0" ref="L389">
      <text>
        <t xml:space="preserve">Responder updated this value.</t>
      </text>
    </comment>
    <comment authorId="0" ref="L390">
      <text>
        <t xml:space="preserve">Responder updated this value.</t>
      </text>
    </comment>
    <comment authorId="0" ref="D391">
      <text>
        <t xml:space="preserve">Responder updated this value.</t>
      </text>
    </comment>
    <comment authorId="0" ref="F391">
      <text>
        <t xml:space="preserve">Responder updated this value.</t>
      </text>
    </comment>
    <comment authorId="0" ref="E392">
      <text>
        <t xml:space="preserve">Responder updated this value.</t>
      </text>
    </comment>
    <comment authorId="0" ref="F392">
      <text>
        <t xml:space="preserve">Responder updated this value.</t>
      </text>
    </comment>
    <comment authorId="0" ref="L392">
      <text>
        <t xml:space="preserve">Responder updated this value.</t>
      </text>
    </comment>
    <comment authorId="0" ref="M392">
      <text>
        <t xml:space="preserve">Responder updated this value.</t>
      </text>
    </comment>
    <comment authorId="0" ref="N392">
      <text>
        <t xml:space="preserve">Responder updated this value.</t>
      </text>
    </comment>
    <comment authorId="0" ref="I394">
      <text>
        <t xml:space="preserve">Responder updated this value.</t>
      </text>
    </comment>
    <comment authorId="0" ref="L394">
      <text>
        <t xml:space="preserve">Responder updated this value.</t>
      </text>
    </comment>
    <comment authorId="0" ref="D397">
      <text>
        <t xml:space="preserve">Responder updated this value.</t>
      </text>
    </comment>
    <comment authorId="0" ref="F397">
      <text>
        <t xml:space="preserve">Responder updated this value.</t>
      </text>
    </comment>
    <comment authorId="0" ref="M397">
      <text>
        <t xml:space="preserve">Responder updated this value.</t>
      </text>
    </comment>
    <comment authorId="0" ref="D398">
      <text>
        <t xml:space="preserve">Responder updated this value.</t>
      </text>
    </comment>
    <comment authorId="0" ref="E398">
      <text>
        <t xml:space="preserve">Responder updated this value.</t>
      </text>
    </comment>
    <comment authorId="0" ref="L398">
      <text>
        <t xml:space="preserve">Responder updated this value.</t>
      </text>
    </comment>
    <comment authorId="0" ref="N398">
      <text>
        <t xml:space="preserve">Responder updated this value.</t>
      </text>
    </comment>
    <comment authorId="0" ref="L399">
      <text>
        <t xml:space="preserve">Responder updated this value.</t>
      </text>
    </comment>
    <comment authorId="0" ref="M399">
      <text>
        <t xml:space="preserve">Responder updated this value.</t>
      </text>
    </comment>
    <comment authorId="0" ref="N399">
      <text>
        <t xml:space="preserve">Responder updated this value.</t>
      </text>
    </comment>
    <comment authorId="0" ref="C400">
      <text>
        <t xml:space="preserve">Responder updated this value.</t>
      </text>
    </comment>
    <comment authorId="0" ref="D400">
      <text>
        <t xml:space="preserve">Responder updated this value.</t>
      </text>
    </comment>
    <comment authorId="0" ref="F400">
      <text>
        <t xml:space="preserve">Responder updated this value.</t>
      </text>
    </comment>
    <comment authorId="0" ref="G400">
      <text>
        <t xml:space="preserve">Responder updated this value.</t>
      </text>
    </comment>
    <comment authorId="0" ref="I400">
      <text>
        <t xml:space="preserve">Responder updated this value.</t>
      </text>
    </comment>
    <comment authorId="0" ref="J400">
      <text>
        <t xml:space="preserve">Responder updated this value.</t>
      </text>
    </comment>
    <comment authorId="0" ref="L400">
      <text>
        <t xml:space="preserve">Responder updated this value.</t>
      </text>
    </comment>
    <comment authorId="0" ref="M400">
      <text>
        <t xml:space="preserve">Responder updated this value.</t>
      </text>
    </comment>
    <comment authorId="0" ref="N400">
      <text>
        <t xml:space="preserve">Responder updated this value.</t>
      </text>
    </comment>
    <comment authorId="0" ref="N401">
      <text>
        <t xml:space="preserve">Responder updated this value.</t>
      </text>
    </comment>
    <comment authorId="0" ref="F402">
      <text>
        <t xml:space="preserve">Responder updated this value.</t>
      </text>
    </comment>
    <comment authorId="0" ref="M402">
      <text>
        <t xml:space="preserve">Responder updated this value.</t>
      </text>
    </comment>
    <comment authorId="0" ref="C404">
      <text>
        <t xml:space="preserve">Responder updated this value.</t>
      </text>
    </comment>
    <comment authorId="0" ref="D404">
      <text>
        <t xml:space="preserve">Responder updated this value.</t>
      </text>
    </comment>
    <comment authorId="0" ref="E404">
      <text>
        <t xml:space="preserve">Responder updated this value.</t>
      </text>
    </comment>
    <comment authorId="0" ref="F404">
      <text>
        <t xml:space="preserve">Responder updated this value.</t>
      </text>
    </comment>
    <comment authorId="0" ref="G404">
      <text>
        <t xml:space="preserve">Responder updated this value.</t>
      </text>
    </comment>
    <comment authorId="0" ref="J404">
      <text>
        <t xml:space="preserve">Responder updated this value.</t>
      </text>
    </comment>
    <comment authorId="0" ref="M404">
      <text>
        <t xml:space="preserve">Responder updated this value.</t>
      </text>
    </comment>
    <comment authorId="0" ref="N404">
      <text>
        <t xml:space="preserve">Responder updated this value.</t>
      </text>
    </comment>
    <comment authorId="0" ref="L405">
      <text>
        <t xml:space="preserve">Responder updated this value.</t>
      </text>
    </comment>
    <comment authorId="0" ref="L406">
      <text>
        <t xml:space="preserve">Responder updated this value.</t>
      </text>
    </comment>
    <comment authorId="0" ref="N407">
      <text>
        <t xml:space="preserve">Responder updated this value.</t>
      </text>
    </comment>
    <comment authorId="0" ref="B408">
      <text>
        <t xml:space="preserve">Responder updated this value.</t>
      </text>
    </comment>
    <comment authorId="0" ref="N408">
      <text>
        <t xml:space="preserve">Responder updated this value.</t>
      </text>
    </comment>
    <comment authorId="0" ref="F410">
      <text>
        <t xml:space="preserve">Responder updated this value.</t>
      </text>
    </comment>
    <comment authorId="0" ref="L410">
      <text>
        <t xml:space="preserve">Responder updated this value.</t>
      </text>
    </comment>
    <comment authorId="0" ref="E414">
      <text>
        <t xml:space="preserve">Responder updated this value.</t>
      </text>
    </comment>
    <comment authorId="0" ref="I414">
      <text>
        <t xml:space="preserve">Responder updated this value.</t>
      </text>
    </comment>
    <comment authorId="0" ref="L414">
      <text>
        <t xml:space="preserve">Responder updated this value.</t>
      </text>
    </comment>
    <comment authorId="0" ref="F415">
      <text>
        <t xml:space="preserve">Responder updated this value.</t>
      </text>
    </comment>
    <comment authorId="0" ref="F416">
      <text>
        <t xml:space="preserve">Responder updated this value.</t>
      </text>
    </comment>
    <comment authorId="0" ref="F417">
      <text>
        <t xml:space="preserve">Responder updated this value.</t>
      </text>
    </comment>
    <comment authorId="0" ref="C419">
      <text>
        <t xml:space="preserve">Responder updated this value.</t>
      </text>
    </comment>
    <comment authorId="0" ref="D419">
      <text>
        <t xml:space="preserve">Responder updated this value.</t>
      </text>
    </comment>
    <comment authorId="0" ref="E419">
      <text>
        <t xml:space="preserve">Responder updated this value.</t>
      </text>
    </comment>
    <comment authorId="0" ref="F420">
      <text>
        <t xml:space="preserve">Responder updated this value.</t>
      </text>
    </comment>
    <comment authorId="0" ref="F421">
      <text>
        <t xml:space="preserve">Responder updated this value.</t>
      </text>
    </comment>
    <comment authorId="0" ref="L421">
      <text>
        <t xml:space="preserve">Responder updated this value.</t>
      </text>
    </comment>
    <comment authorId="0" ref="C422">
      <text>
        <t xml:space="preserve">Responder updated this value.</t>
      </text>
    </comment>
    <comment authorId="0" ref="D422">
      <text>
        <t xml:space="preserve">Responder updated this value.</t>
      </text>
    </comment>
    <comment authorId="0" ref="E422">
      <text>
        <t xml:space="preserve">Responder updated this value.</t>
      </text>
    </comment>
    <comment authorId="0" ref="G422">
      <text>
        <t xml:space="preserve">Responder updated this value.</t>
      </text>
    </comment>
    <comment authorId="0" ref="J422">
      <text>
        <t xml:space="preserve">Responder updated this value.</t>
      </text>
    </comment>
    <comment authorId="0" ref="L422">
      <text>
        <t xml:space="preserve">Responder updated this value.</t>
      </text>
    </comment>
    <comment authorId="0" ref="M422">
      <text>
        <t xml:space="preserve">Responder updated this value.</t>
      </text>
    </comment>
    <comment authorId="0" ref="D423">
      <text>
        <t xml:space="preserve">Responder updated this value.</t>
      </text>
    </comment>
    <comment authorId="0" ref="F423">
      <text>
        <t xml:space="preserve">Responder updated this value.</t>
      </text>
    </comment>
    <comment authorId="0" ref="N423">
      <text>
        <t xml:space="preserve">Responder updated this value.</t>
      </text>
    </comment>
    <comment authorId="0" ref="L424">
      <text>
        <t xml:space="preserve">Responder updated this value.</t>
      </text>
    </comment>
    <comment authorId="0" ref="L425">
      <text>
        <t xml:space="preserve">Responder updated this value.</t>
      </text>
    </comment>
    <comment authorId="0" ref="N425">
      <text>
        <t xml:space="preserve">Responder updated this value.</t>
      </text>
    </comment>
    <comment authorId="0" ref="C426">
      <text>
        <t xml:space="preserve">Responder updated this value.</t>
      </text>
    </comment>
    <comment authorId="0" ref="E426">
      <text>
        <t xml:space="preserve">Responder updated this value.</t>
      </text>
    </comment>
    <comment authorId="0" ref="L426">
      <text>
        <t xml:space="preserve">Responder updated this value.</t>
      </text>
    </comment>
    <comment authorId="0" ref="C427">
      <text>
        <t xml:space="preserve">Responder updated this value.</t>
      </text>
    </comment>
    <comment authorId="0" ref="E427">
      <text>
        <t xml:space="preserve">Responder updated this value.</t>
      </text>
    </comment>
    <comment authorId="0" ref="F427">
      <text>
        <t xml:space="preserve">Responder updated this value.</t>
      </text>
    </comment>
    <comment authorId="0" ref="G427">
      <text>
        <t xml:space="preserve">Responder updated this value.</t>
      </text>
    </comment>
    <comment authorId="0" ref="L427">
      <text>
        <t xml:space="preserve">Responder updated this value.</t>
      </text>
    </comment>
    <comment authorId="0" ref="M427">
      <text>
        <t xml:space="preserve">Responder updated this value.</t>
      </text>
    </comment>
    <comment authorId="0" ref="N431">
      <text>
        <t xml:space="preserve">Responder updated this value.</t>
      </text>
    </comment>
    <comment authorId="0" ref="M432">
      <text>
        <t xml:space="preserve">Responder updated this value.</t>
      </text>
    </comment>
    <comment authorId="0" ref="N432">
      <text>
        <t xml:space="preserve">Responder updated this value.</t>
      </text>
    </comment>
    <comment authorId="0" ref="F434">
      <text>
        <t xml:space="preserve">Responder updated this value.</t>
      </text>
    </comment>
    <comment authorId="0" ref="F435">
      <text>
        <t xml:space="preserve">Responder updated this value.</t>
      </text>
    </comment>
    <comment authorId="0" ref="L435">
      <text>
        <t xml:space="preserve">Responder updated this value.</t>
      </text>
    </comment>
    <comment authorId="0" ref="F436">
      <text>
        <t xml:space="preserve">Responder updated this value.</t>
      </text>
    </comment>
    <comment authorId="0" ref="L437">
      <text>
        <t xml:space="preserve">Responder updated this value.</t>
      </text>
    </comment>
    <comment authorId="0" ref="J442">
      <text>
        <t xml:space="preserve">Responder updated this value.</t>
      </text>
    </comment>
    <comment authorId="0" ref="L442">
      <text>
        <t xml:space="preserve">Responder updated this value.</t>
      </text>
    </comment>
    <comment authorId="0" ref="M442">
      <text>
        <t xml:space="preserve">Responder updated this value.</t>
      </text>
    </comment>
    <comment authorId="0" ref="N442">
      <text>
        <t xml:space="preserve">Responder updated this value.</t>
      </text>
    </comment>
    <comment authorId="0" ref="D450">
      <text>
        <t xml:space="preserve">Responder updated this value.</t>
      </text>
    </comment>
    <comment authorId="0" ref="E450">
      <text>
        <t xml:space="preserve">Responder updated this value.</t>
      </text>
    </comment>
    <comment authorId="0" ref="F450">
      <text>
        <t xml:space="preserve">Responder updated this value.</t>
      </text>
    </comment>
    <comment authorId="0" ref="M450">
      <text>
        <t xml:space="preserve">Responder updated this value.</t>
      </text>
    </comment>
    <comment authorId="0" ref="N450">
      <text>
        <t xml:space="preserve">Responder updated this value.</t>
      </text>
    </comment>
    <comment authorId="0" ref="B461">
      <text>
        <t xml:space="preserve">Responder updated this value.</t>
      </text>
    </comment>
    <comment authorId="0" ref="D461">
      <text>
        <t xml:space="preserve">Responder updated this value.</t>
      </text>
    </comment>
    <comment authorId="0" ref="E461">
      <text>
        <t xml:space="preserve">Responder updated this value.</t>
      </text>
    </comment>
    <comment authorId="0" ref="G461">
      <text>
        <t xml:space="preserve">Responder updated this value.</t>
      </text>
    </comment>
    <comment authorId="0" ref="M461">
      <text>
        <t xml:space="preserve">Responder updated this value.</t>
      </text>
    </comment>
    <comment authorId="0" ref="N461">
      <text>
        <t xml:space="preserve">Responder updated this value.</t>
      </text>
    </comment>
    <comment authorId="0" ref="F472">
      <text>
        <t xml:space="preserve">Responder updated this value.</t>
      </text>
    </comment>
    <comment authorId="0" ref="I472">
      <text>
        <t xml:space="preserve">Responder updated this value.</t>
      </text>
    </comment>
    <comment authorId="0" ref="J472">
      <text>
        <t xml:space="preserve">Responder updated this value.</t>
      </text>
    </comment>
    <comment authorId="0" ref="N472">
      <text>
        <t xml:space="preserve">Responder updated this value.</t>
      </text>
    </comment>
    <comment authorId="0" ref="F473">
      <text>
        <t xml:space="preserve">Responder updated this value.</t>
      </text>
    </comment>
    <comment authorId="0" ref="D475">
      <text>
        <t xml:space="preserve">Responder updated this value.</t>
      </text>
    </comment>
    <comment authorId="0" ref="F475">
      <text>
        <t xml:space="preserve">Responder updated this value.</t>
      </text>
    </comment>
    <comment authorId="0" ref="I475">
      <text>
        <t xml:space="preserve">Responder updated this value.</t>
      </text>
    </comment>
    <comment authorId="0" ref="J475">
      <text>
        <t xml:space="preserve">Responder updated this value.</t>
      </text>
    </comment>
    <comment authorId="0" ref="N475">
      <text>
        <t xml:space="preserve">Responder updated this value.</t>
      </text>
    </comment>
    <comment authorId="0" ref="C476">
      <text>
        <t xml:space="preserve">Responder updated this value.</t>
      </text>
    </comment>
    <comment authorId="0" ref="D476">
      <text>
        <t xml:space="preserve">Responder updated this value.</t>
      </text>
    </comment>
    <comment authorId="0" ref="E476">
      <text>
        <t xml:space="preserve">Responder updated this value.</t>
      </text>
    </comment>
    <comment authorId="0" ref="F476">
      <text>
        <t xml:space="preserve">Responder updated this value.</t>
      </text>
    </comment>
    <comment authorId="0" ref="G476">
      <text>
        <t xml:space="preserve">Responder updated this value.</t>
      </text>
    </comment>
    <comment authorId="0" ref="J476">
      <text>
        <t xml:space="preserve">Responder updated this value.</t>
      </text>
    </comment>
    <comment authorId="0" ref="M476">
      <text>
        <t xml:space="preserve">Responder updated this value.</t>
      </text>
    </comment>
    <comment authorId="0" ref="N476">
      <text>
        <t xml:space="preserve">Responder updated this value.</t>
      </text>
    </comment>
    <comment authorId="0" ref="B478">
      <text>
        <t xml:space="preserve">Responder updated this value.</t>
      </text>
    </comment>
    <comment authorId="0" ref="F478">
      <text>
        <t xml:space="preserve">Responder updated this value.</t>
      </text>
    </comment>
    <comment authorId="0" ref="N478">
      <text>
        <t xml:space="preserve">Responder updated this value.</t>
      </text>
    </comment>
    <comment authorId="0" ref="F482">
      <text>
        <t xml:space="preserve">Responder updated this value.</t>
      </text>
    </comment>
    <comment authorId="0" ref="F485">
      <text>
        <t xml:space="preserve">Responder updated this value.</t>
      </text>
    </comment>
    <comment authorId="0" ref="L486">
      <text>
        <t xml:space="preserve">Responder updated this value.</t>
      </text>
    </comment>
    <comment authorId="0" ref="M486">
      <text>
        <t xml:space="preserve">Responder updated this value.</t>
      </text>
    </comment>
    <comment authorId="0" ref="N486">
      <text>
        <t xml:space="preserve">Responder updated this value.</t>
      </text>
    </comment>
    <comment authorId="0" ref="C489">
      <text>
        <t xml:space="preserve">Responder updated this value.</t>
      </text>
    </comment>
    <comment authorId="0" ref="D489">
      <text>
        <t xml:space="preserve">Responder updated this value.</t>
      </text>
    </comment>
    <comment authorId="0" ref="N489">
      <text>
        <t xml:space="preserve">Responder updated this value.</t>
      </text>
    </comment>
    <comment authorId="0" ref="F490">
      <text>
        <t xml:space="preserve">Responder updated this value.</t>
      </text>
    </comment>
    <comment authorId="0" ref="M491">
      <text>
        <t xml:space="preserve">Responder updated this value.</t>
      </text>
    </comment>
    <comment authorId="0" ref="N491">
      <text>
        <t xml:space="preserve">Responder updated this value.</t>
      </text>
    </comment>
    <comment authorId="0" ref="F492">
      <text>
        <t xml:space="preserve">Responder updated this value.</t>
      </text>
    </comment>
    <comment authorId="0" ref="F494">
      <text>
        <t xml:space="preserve">Responder updated this value.</t>
      </text>
    </comment>
    <comment authorId="0" ref="F495">
      <text>
        <t xml:space="preserve">Responder updated this value.</t>
      </text>
    </comment>
    <comment authorId="0" ref="L495">
      <text>
        <t xml:space="preserve">Responder updated this value.</t>
      </text>
    </comment>
    <comment authorId="0" ref="N495">
      <text>
        <t xml:space="preserve">Responder updated this value.</t>
      </text>
    </comment>
    <comment authorId="0" ref="F496">
      <text>
        <t xml:space="preserve">Responder updated this value.</t>
      </text>
    </comment>
    <comment authorId="0" ref="L496">
      <text>
        <t xml:space="preserve">Responder updated this value.</t>
      </text>
    </comment>
    <comment authorId="0" ref="N496">
      <text>
        <t xml:space="preserve">Responder updated this value.</t>
      </text>
    </comment>
    <comment authorId="0" ref="F497">
      <text>
        <t xml:space="preserve">Responder updated this value.</t>
      </text>
    </comment>
    <comment authorId="0" ref="L501">
      <text>
        <t xml:space="preserve">Responder updated this value.</t>
      </text>
    </comment>
    <comment authorId="0" ref="F502">
      <text>
        <t xml:space="preserve">Responder updated this value.</t>
      </text>
    </comment>
    <comment authorId="0" ref="N502">
      <text>
        <t xml:space="preserve">Responder updated this value.</t>
      </text>
    </comment>
    <comment authorId="0" ref="F503">
      <text>
        <t xml:space="preserve">Responder updated this value.</t>
      </text>
    </comment>
    <comment authorId="0" ref="F504">
      <text>
        <t xml:space="preserve">Responder updated this value.</t>
      </text>
    </comment>
    <comment authorId="0" ref="D505">
      <text>
        <t xml:space="preserve">Responder updated this value.</t>
      </text>
    </comment>
    <comment authorId="0" ref="J505">
      <text>
        <t xml:space="preserve">Responder updated this value.</t>
      </text>
    </comment>
    <comment authorId="0" ref="M505">
      <text>
        <t xml:space="preserve">Responder updated this value.</t>
      </text>
    </comment>
    <comment authorId="0" ref="N505">
      <text>
        <t xml:space="preserve">Responder updated this value.</t>
      </text>
    </comment>
    <comment authorId="0" ref="F506">
      <text>
        <t xml:space="preserve">Responder updated this value.</t>
      </text>
    </comment>
    <comment authorId="0" ref="F508">
      <text>
        <t xml:space="preserve">Responder updated this value.</t>
      </text>
    </comment>
    <comment authorId="0" ref="F509">
      <text>
        <t xml:space="preserve">Responder updated this value.</t>
      </text>
    </comment>
    <comment authorId="0" ref="L509">
      <text>
        <t xml:space="preserve">Responder updated this value.</t>
      </text>
    </comment>
    <comment authorId="0" ref="F510">
      <text>
        <t xml:space="preserve">Responder updated this value.</t>
      </text>
    </comment>
    <comment authorId="0" ref="F511">
      <text>
        <t xml:space="preserve">Responder updated this value.</t>
      </text>
    </comment>
    <comment authorId="0" ref="L514">
      <text>
        <t xml:space="preserve">Responder updated this value.</t>
      </text>
    </comment>
    <comment authorId="0" ref="D515">
      <text>
        <t xml:space="preserve">Responder updated this value.</t>
      </text>
    </comment>
    <comment authorId="0" ref="E515">
      <text>
        <t xml:space="preserve">Responder updated this value.</t>
      </text>
    </comment>
    <comment authorId="0" ref="F515">
      <text>
        <t xml:space="preserve">Responder updated this value.</t>
      </text>
    </comment>
    <comment authorId="0" ref="M515">
      <text>
        <t xml:space="preserve">Responder updated this value.</t>
      </text>
    </comment>
    <comment authorId="0" ref="N515">
      <text>
        <t xml:space="preserve">Responder updated this value.</t>
      </text>
    </comment>
    <comment authorId="0" ref="F517">
      <text>
        <t xml:space="preserve">Responder updated this value.</t>
      </text>
    </comment>
    <comment authorId="0" ref="L517">
      <text>
        <t xml:space="preserve">Responder updated this value.</t>
      </text>
    </comment>
    <comment authorId="0" ref="C519">
      <text>
        <t xml:space="preserve">Responder updated this value.</t>
      </text>
    </comment>
    <comment authorId="0" ref="D519">
      <text>
        <t xml:space="preserve">Responder updated this value.</t>
      </text>
    </comment>
    <comment authorId="0" ref="F519">
      <text>
        <t xml:space="preserve">Responder updated this value.</t>
      </text>
    </comment>
    <comment authorId="0" ref="L519">
      <text>
        <t xml:space="preserve">Responder updated this value.</t>
      </text>
    </comment>
    <comment authorId="0" ref="N519">
      <text>
        <t xml:space="preserve">Responder updated this value.</t>
      </text>
    </comment>
    <comment authorId="0" ref="F522">
      <text>
        <t xml:space="preserve">Responder updated this value.</t>
      </text>
    </comment>
    <comment authorId="0" ref="F523">
      <text>
        <t xml:space="preserve">Responder updated this value.</t>
      </text>
    </comment>
    <comment authorId="0" ref="L524">
      <text>
        <t xml:space="preserve">Responder updated this value.</t>
      </text>
    </comment>
    <comment authorId="0" ref="M524">
      <text>
        <t xml:space="preserve">Responder updated this value.</t>
      </text>
    </comment>
    <comment authorId="0" ref="F526">
      <text>
        <t xml:space="preserve">Responder updated this value.</t>
      </text>
    </comment>
    <comment authorId="0" ref="F527">
      <text>
        <t xml:space="preserve">Responder updated this value.</t>
      </text>
    </comment>
    <comment authorId="0" ref="J527">
      <text>
        <t xml:space="preserve">Responder updated this value.</t>
      </text>
    </comment>
    <comment authorId="0" ref="L527">
      <text>
        <t xml:space="preserve">Responder updated this value.</t>
      </text>
    </comment>
    <comment authorId="0" ref="N527">
      <text>
        <t xml:space="preserve">Responder updated this value.</t>
      </text>
    </comment>
    <comment authorId="0" ref="F528">
      <text>
        <t xml:space="preserve">Responder updated this value.</t>
      </text>
    </comment>
    <comment authorId="0" ref="F529">
      <text>
        <t xml:space="preserve">Responder updated this value.</t>
      </text>
    </comment>
    <comment authorId="0" ref="F530">
      <text>
        <t xml:space="preserve">Responder updated this value.</t>
      </text>
    </comment>
    <comment authorId="0" ref="F531">
      <text>
        <t xml:space="preserve">Responder updated this value.</t>
      </text>
    </comment>
    <comment authorId="0" ref="N531">
      <text>
        <t xml:space="preserve">Responder updated this value.</t>
      </text>
    </comment>
    <comment authorId="0" ref="F534">
      <text>
        <t xml:space="preserve">Responder updated this value.</t>
      </text>
    </comment>
    <comment authorId="0" ref="E539">
      <text>
        <t xml:space="preserve">Responder updated this value.</t>
      </text>
    </comment>
    <comment authorId="0" ref="F539">
      <text>
        <t xml:space="preserve">Responder updated this value.</t>
      </text>
    </comment>
    <comment authorId="0" ref="L539">
      <text>
        <t xml:space="preserve">Responder updated this value.</t>
      </text>
    </comment>
    <comment authorId="0" ref="C540">
      <text>
        <t xml:space="preserve">Responder updated this value.</t>
      </text>
    </comment>
    <comment authorId="0" ref="D540">
      <text>
        <t xml:space="preserve">Responder updated this value.</t>
      </text>
    </comment>
    <comment authorId="0" ref="E540">
      <text>
        <t xml:space="preserve">Responder updated this value.</t>
      </text>
    </comment>
    <comment authorId="0" ref="F540">
      <text>
        <t xml:space="preserve">Responder updated this value.</t>
      </text>
    </comment>
    <comment authorId="0" ref="N540">
      <text>
        <t xml:space="preserve">Responder updated this value.</t>
      </text>
    </comment>
    <comment authorId="0" ref="F542">
      <text>
        <t xml:space="preserve">Responder updated this value.</t>
      </text>
    </comment>
    <comment authorId="0" ref="F544">
      <text>
        <t xml:space="preserve">Responder updated this value.</t>
      </text>
    </comment>
    <comment authorId="0" ref="F545">
      <text>
        <t xml:space="preserve">Responder updated this value.</t>
      </text>
    </comment>
    <comment authorId="0" ref="F546">
      <text>
        <t xml:space="preserve">Responder updated this value.</t>
      </text>
    </comment>
    <comment authorId="0" ref="C547">
      <text>
        <t xml:space="preserve">Responder updated this value.</t>
      </text>
    </comment>
    <comment authorId="0" ref="D547">
      <text>
        <t xml:space="preserve">Responder updated this value.</t>
      </text>
    </comment>
    <comment authorId="0" ref="F547">
      <text>
        <t xml:space="preserve">Responder updated this value.</t>
      </text>
    </comment>
    <comment authorId="0" ref="N547">
      <text>
        <t xml:space="preserve">Responder updated this value.</t>
      </text>
    </comment>
    <comment authorId="0" ref="F548">
      <text>
        <t xml:space="preserve">Responder updated this value.</t>
      </text>
    </comment>
    <comment authorId="0" ref="L549">
      <text>
        <t xml:space="preserve">Responder updated this value.</t>
      </text>
    </comment>
    <comment authorId="0" ref="F551">
      <text>
        <t xml:space="preserve">Responder updated this value.</t>
      </text>
    </comment>
    <comment authorId="0" ref="F552">
      <text>
        <t xml:space="preserve">Responder updated this value.</t>
      </text>
    </comment>
    <comment authorId="0" ref="M553">
      <text>
        <t xml:space="preserve">Responder updated this value.</t>
      </text>
    </comment>
    <comment authorId="0" ref="F554">
      <text>
        <t xml:space="preserve">Responder updated this value.</t>
      </text>
    </comment>
    <comment authorId="0" ref="D556">
      <text>
        <t xml:space="preserve">Responder updated this value.</t>
      </text>
    </comment>
    <comment authorId="0" ref="F556">
      <text>
        <t xml:space="preserve">Responder updated this value.</t>
      </text>
    </comment>
    <comment authorId="0" ref="J556">
      <text>
        <t xml:space="preserve">Responder updated this value.</t>
      </text>
    </comment>
    <comment authorId="0" ref="L556">
      <text>
        <t xml:space="preserve">Responder updated this value.</t>
      </text>
    </comment>
    <comment authorId="0" ref="F558">
      <text>
        <t xml:space="preserve">Responder updated this value.</t>
      </text>
    </comment>
    <comment authorId="0" ref="N560">
      <text>
        <t xml:space="preserve">Responder updated this value.</t>
      </text>
    </comment>
    <comment authorId="0" ref="F561">
      <text>
        <t xml:space="preserve">Responder updated this value.</t>
      </text>
    </comment>
    <comment authorId="0" ref="F563">
      <text>
        <t xml:space="preserve">Responder updated this value.</t>
      </text>
    </comment>
    <comment authorId="0" ref="F564">
      <text>
        <t xml:space="preserve">Responder updated this value.</t>
      </text>
    </comment>
    <comment authorId="0" ref="L564">
      <text>
        <t xml:space="preserve">Responder updated this value.</t>
      </text>
    </comment>
    <comment authorId="0" ref="F565">
      <text>
        <t xml:space="preserve">Responder updated this value.</t>
      </text>
    </comment>
    <comment authorId="0" ref="L566">
      <text>
        <t xml:space="preserve">Responder updated this value.</t>
      </text>
    </comment>
    <comment authorId="0" ref="N566">
      <text>
        <t xml:space="preserve">Responder updated this value.</t>
      </text>
    </comment>
    <comment authorId="0" ref="E567">
      <text>
        <t xml:space="preserve">Responder updated this value.</t>
      </text>
    </comment>
    <comment authorId="0" ref="L567">
      <text>
        <t xml:space="preserve">Responder updated this value.</t>
      </text>
    </comment>
    <comment authorId="0" ref="F569">
      <text>
        <t xml:space="preserve">Responder updated this value.</t>
      </text>
    </comment>
    <comment authorId="0" ref="F570">
      <text>
        <t xml:space="preserve">Responder updated this value.</t>
      </text>
    </comment>
    <comment authorId="0" ref="L570">
      <text>
        <t xml:space="preserve">Responder updated this value.</t>
      </text>
    </comment>
    <comment authorId="0" ref="N570">
      <text>
        <t xml:space="preserve">Responder updated this value.</t>
      </text>
    </comment>
    <comment authorId="0" ref="F571">
      <text>
        <t xml:space="preserve">Responder updated this value.</t>
      </text>
    </comment>
    <comment authorId="0" ref="N571">
      <text>
        <t xml:space="preserve">Responder updated this value.</t>
      </text>
    </comment>
    <comment authorId="0" ref="F572">
      <text>
        <t xml:space="preserve">Responder updated this value.</t>
      </text>
    </comment>
    <comment authorId="0" ref="J572">
      <text>
        <t xml:space="preserve">Responder updated this value.</t>
      </text>
    </comment>
    <comment authorId="0" ref="L572">
      <text>
        <t xml:space="preserve">Responder updated this value.</t>
      </text>
    </comment>
    <comment authorId="0" ref="N572">
      <text>
        <t xml:space="preserve">Responder updated this value.</t>
      </text>
    </comment>
    <comment authorId="0" ref="F573">
      <text>
        <t xml:space="preserve">Responder updated this value.</t>
      </text>
    </comment>
    <comment authorId="0" ref="F577">
      <text>
        <t xml:space="preserve">Responder updated this value.</t>
      </text>
    </comment>
    <comment authorId="0" ref="L577">
      <text>
        <t xml:space="preserve">Responder updated this value.</t>
      </text>
    </comment>
    <comment authorId="0" ref="C580">
      <text>
        <t xml:space="preserve">Responder updated this value.</t>
      </text>
    </comment>
    <comment authorId="0" ref="D580">
      <text>
        <t xml:space="preserve">Responder updated this value.</t>
      </text>
    </comment>
    <comment authorId="0" ref="E580">
      <text>
        <t xml:space="preserve">Responder updated this value.</t>
      </text>
    </comment>
    <comment authorId="0" ref="F580">
      <text>
        <t xml:space="preserve">Responder updated this value.</t>
      </text>
    </comment>
    <comment authorId="0" ref="G580">
      <text>
        <t xml:space="preserve">Responder updated this value.</t>
      </text>
    </comment>
    <comment authorId="0" ref="M580">
      <text>
        <t xml:space="preserve">Responder updated this value.</t>
      </text>
    </comment>
    <comment authorId="0" ref="N580">
      <text>
        <t xml:space="preserve">Responder updated this value.</t>
      </text>
    </comment>
    <comment authorId="0" ref="F583">
      <text>
        <t xml:space="preserve">Responder updated this value.</t>
      </text>
    </comment>
    <comment authorId="0" ref="G584">
      <text>
        <t xml:space="preserve">Responder updated this value.</t>
      </text>
    </comment>
    <comment authorId="0" ref="C585">
      <text>
        <t xml:space="preserve">Responder updated this value.</t>
      </text>
    </comment>
    <comment authorId="0" ref="D585">
      <text>
        <t xml:space="preserve">Responder updated this value.</t>
      </text>
    </comment>
    <comment authorId="0" ref="E585">
      <text>
        <t xml:space="preserve">Responder updated this value.</t>
      </text>
    </comment>
    <comment authorId="0" ref="G585">
      <text>
        <t xml:space="preserve">Responder updated this value.</t>
      </text>
    </comment>
    <comment authorId="0" ref="J585">
      <text>
        <t xml:space="preserve">Responder updated this value.</t>
      </text>
    </comment>
    <comment authorId="0" ref="M585">
      <text>
        <t xml:space="preserve">Responder updated this value.</t>
      </text>
    </comment>
    <comment authorId="0" ref="N585">
      <text>
        <t xml:space="preserve">Responder updated this value.</t>
      </text>
    </comment>
    <comment authorId="0" ref="F587">
      <text>
        <t xml:space="preserve">Responder updated this value.</t>
      </text>
    </comment>
    <comment authorId="0" ref="N587">
      <text>
        <t xml:space="preserve">Responder updated this value.</t>
      </text>
    </comment>
    <comment authorId="0" ref="F592">
      <text>
        <t xml:space="preserve">Responder updated this value.</t>
      </text>
    </comment>
    <comment authorId="0" ref="B596">
      <text>
        <t xml:space="preserve">Responder updated this value.</t>
      </text>
    </comment>
    <comment authorId="0" ref="G596">
      <text>
        <t xml:space="preserve">Responder updated this value.</t>
      </text>
    </comment>
    <comment authorId="0" ref="C598">
      <text>
        <t xml:space="preserve">Responder updated this value.</t>
      </text>
    </comment>
    <comment authorId="0" ref="D598">
      <text>
        <t xml:space="preserve">Responder updated this value.</t>
      </text>
    </comment>
    <comment authorId="0" ref="G598">
      <text>
        <t xml:space="preserve">Responder updated this value.</t>
      </text>
    </comment>
    <comment authorId="0" ref="N598">
      <text>
        <t xml:space="preserve">Responder updated this value.</t>
      </text>
    </comment>
    <comment authorId="0" ref="G599">
      <text>
        <t xml:space="preserve">Responder updated this value.</t>
      </text>
    </comment>
    <comment authorId="0" ref="M599">
      <text>
        <t xml:space="preserve">Responder updated this value.</t>
      </text>
    </comment>
    <comment authorId="0" ref="D600">
      <text>
        <t xml:space="preserve">Responder updated this value.</t>
      </text>
    </comment>
    <comment authorId="0" ref="F600">
      <text>
        <t xml:space="preserve">Responder updated this value.</t>
      </text>
    </comment>
    <comment authorId="0" ref="G601">
      <text>
        <t xml:space="preserve">Responder updated this value.</t>
      </text>
    </comment>
    <comment authorId="0" ref="L601">
      <text>
        <t xml:space="preserve">Responder updated this value.</t>
      </text>
    </comment>
    <comment authorId="0" ref="N601">
      <text>
        <t xml:space="preserve">Responder updated this value.</t>
      </text>
    </comment>
    <comment authorId="0" ref="G602">
      <text>
        <t xml:space="preserve">Responder updated this value.</t>
      </text>
    </comment>
    <comment authorId="0" ref="I602">
      <text>
        <t xml:space="preserve">Responder updated this value.</t>
      </text>
    </comment>
    <comment authorId="0" ref="M602">
      <text>
        <t xml:space="preserve">Responder updated this value.</t>
      </text>
    </comment>
    <comment authorId="0" ref="N602">
      <text>
        <t xml:space="preserve">Responder updated this value.</t>
      </text>
    </comment>
    <comment authorId="0" ref="F603">
      <text>
        <t xml:space="preserve">Responder updated this value.</t>
      </text>
    </comment>
    <comment authorId="0" ref="G603">
      <text>
        <t xml:space="preserve">Responder updated this value.</t>
      </text>
    </comment>
    <comment authorId="0" ref="I603">
      <text>
        <t xml:space="preserve">Responder updated this value.</t>
      </text>
    </comment>
    <comment authorId="0" ref="J603">
      <text>
        <t xml:space="preserve">Responder updated this value.</t>
      </text>
    </comment>
    <comment authorId="0" ref="L603">
      <text>
        <t xml:space="preserve">Responder updated this value.</t>
      </text>
    </comment>
    <comment authorId="0" ref="M603">
      <text>
        <t xml:space="preserve">Responder updated this value.</t>
      </text>
    </comment>
    <comment authorId="0" ref="N603">
      <text>
        <t xml:space="preserve">Responder updated this value.</t>
      </text>
    </comment>
    <comment authorId="0" ref="C604">
      <text>
        <t xml:space="preserve">Responder updated this value.</t>
      </text>
    </comment>
    <comment authorId="0" ref="E604">
      <text>
        <t xml:space="preserve">Responder updated this value.</t>
      </text>
    </comment>
    <comment authorId="0" ref="G604">
      <text>
        <t xml:space="preserve">Responder updated this value.</t>
      </text>
    </comment>
    <comment authorId="0" ref="I604">
      <text>
        <t xml:space="preserve">Responder updated this value.</t>
      </text>
    </comment>
    <comment authorId="0" ref="J604">
      <text>
        <t xml:space="preserve">Responder updated this value.</t>
      </text>
    </comment>
    <comment authorId="0" ref="L604">
      <text>
        <t xml:space="preserve">Responder updated this value.</t>
      </text>
    </comment>
    <comment authorId="0" ref="M604">
      <text>
        <t xml:space="preserve">Responder updated this value.</t>
      </text>
    </comment>
    <comment authorId="0" ref="N604">
      <text>
        <t xml:space="preserve">Responder updated this value.</t>
      </text>
    </comment>
    <comment authorId="0" ref="F606">
      <text>
        <t xml:space="preserve">Responder updated this value.</t>
      </text>
    </comment>
    <comment authorId="0" ref="F607">
      <text>
        <t xml:space="preserve">Responder updated this value.</t>
      </text>
    </comment>
    <comment authorId="0" ref="G607">
      <text>
        <t xml:space="preserve">Responder updated this value.</t>
      </text>
    </comment>
    <comment authorId="0" ref="G608">
      <text>
        <t xml:space="preserve">Responder updated this value.</t>
      </text>
    </comment>
    <comment authorId="0" ref="L609">
      <text>
        <t xml:space="preserve">Responder updated this value.</t>
      </text>
    </comment>
    <comment authorId="0" ref="G610">
      <text>
        <t xml:space="preserve">Responder updated this value.</t>
      </text>
    </comment>
    <comment authorId="0" ref="G611">
      <text>
        <t xml:space="preserve">Responder updated this value.</t>
      </text>
    </comment>
    <comment authorId="0" ref="G612">
      <text>
        <t xml:space="preserve">Responder updated this value.</t>
      </text>
    </comment>
    <comment authorId="0" ref="G613">
      <text>
        <t xml:space="preserve">Responder updated this value.</t>
      </text>
    </comment>
    <comment authorId="0" ref="L616">
      <text>
        <t xml:space="preserve">Responder updated this value.</t>
      </text>
    </comment>
    <comment authorId="0" ref="G618">
      <text>
        <t xml:space="preserve">Responder updated this value.</t>
      </text>
    </comment>
    <comment authorId="0" ref="G619">
      <text>
        <t xml:space="preserve">Responder updated this value.</t>
      </text>
    </comment>
    <comment authorId="0" ref="G620">
      <text>
        <t xml:space="preserve">Responder updated this value.</t>
      </text>
    </comment>
    <comment authorId="0" ref="G622">
      <text>
        <t xml:space="preserve">Responder updated this value.</t>
      </text>
    </comment>
    <comment authorId="0" ref="C623">
      <text>
        <t xml:space="preserve">Responder updated this value.</t>
      </text>
    </comment>
    <comment authorId="0" ref="E623">
      <text>
        <t xml:space="preserve">Responder updated this value.</t>
      </text>
    </comment>
    <comment authorId="0" ref="F623">
      <text>
        <t xml:space="preserve">Responder updated this value.</t>
      </text>
    </comment>
    <comment authorId="0" ref="G623">
      <text>
        <t xml:space="preserve">Responder updated this value.</t>
      </text>
    </comment>
    <comment authorId="0" ref="H623">
      <text>
        <t xml:space="preserve">Responder updated this value.</t>
      </text>
    </comment>
    <comment authorId="0" ref="I623">
      <text>
        <t xml:space="preserve">Responder updated this value.</t>
      </text>
    </comment>
    <comment authorId="0" ref="L623">
      <text>
        <t xml:space="preserve">Responder updated this value.</t>
      </text>
    </comment>
    <comment authorId="0" ref="C624">
      <text>
        <t xml:space="preserve">Responder updated this value.</t>
      </text>
    </comment>
    <comment authorId="0" ref="D624">
      <text>
        <t xml:space="preserve">Responder updated this value.</t>
      </text>
    </comment>
    <comment authorId="0" ref="E624">
      <text>
        <t xml:space="preserve">Responder updated this value.</t>
      </text>
    </comment>
    <comment authorId="0" ref="G624">
      <text>
        <t xml:space="preserve">Responder updated this value.</t>
      </text>
    </comment>
    <comment authorId="0" ref="G625">
      <text>
        <t xml:space="preserve">Responder updated this value.</t>
      </text>
    </comment>
    <comment authorId="0" ref="F626">
      <text>
        <t xml:space="preserve">Responder updated this value.</t>
      </text>
    </comment>
    <comment authorId="0" ref="G626">
      <text>
        <t xml:space="preserve">Responder updated this value.</t>
      </text>
    </comment>
    <comment authorId="0" ref="D627">
      <text>
        <t xml:space="preserve">Responder updated this value.</t>
      </text>
    </comment>
    <comment authorId="0" ref="E627">
      <text>
        <t xml:space="preserve">Responder updated this value.</t>
      </text>
    </comment>
    <comment authorId="0" ref="F627">
      <text>
        <t xml:space="preserve">Responder updated this value.</t>
      </text>
    </comment>
    <comment authorId="0" ref="G627">
      <text>
        <t xml:space="preserve">Responder updated this value.</t>
      </text>
    </comment>
    <comment authorId="0" ref="N627">
      <text>
        <t xml:space="preserve">Responder updated this value.</t>
      </text>
    </comment>
    <comment authorId="0" ref="G628">
      <text>
        <t xml:space="preserve">Responder updated this value.</t>
      </text>
    </comment>
    <comment authorId="0" ref="G629">
      <text>
        <t xml:space="preserve">Responder updated this value.</t>
      </text>
    </comment>
    <comment authorId="0" ref="G630">
      <text>
        <t xml:space="preserve">Responder updated this value.</t>
      </text>
    </comment>
    <comment authorId="0" ref="G631">
      <text>
        <t xml:space="preserve">Responder updated this value.</t>
      </text>
    </comment>
    <comment authorId="0" ref="B632">
      <text>
        <t xml:space="preserve">Responder updated this value.</t>
      </text>
    </comment>
    <comment authorId="0" ref="G632">
      <text>
        <t xml:space="preserve">Responder updated this value.</t>
      </text>
    </comment>
    <comment authorId="0" ref="L632">
      <text>
        <t xml:space="preserve">Responder updated this value.</t>
      </text>
    </comment>
    <comment authorId="0" ref="N632">
      <text>
        <t xml:space="preserve">Responder updated this value.</t>
      </text>
    </comment>
    <comment authorId="0" ref="G633">
      <text>
        <t xml:space="preserve">Responder updated this value.</t>
      </text>
    </comment>
    <comment authorId="0" ref="G634">
      <text>
        <t xml:space="preserve">Responder updated this value.</t>
      </text>
    </comment>
    <comment authorId="0" ref="F636">
      <text>
        <t xml:space="preserve">Responder updated this value.</t>
      </text>
    </comment>
    <comment authorId="0" ref="G636">
      <text>
        <t xml:space="preserve">Responder updated this value.</t>
      </text>
    </comment>
    <comment authorId="0" ref="L636">
      <text>
        <t xml:space="preserve">Responder updated this value.</t>
      </text>
    </comment>
    <comment authorId="0" ref="F637">
      <text>
        <t xml:space="preserve">Responder updated this value.</t>
      </text>
    </comment>
    <comment authorId="0" ref="G637">
      <text>
        <t xml:space="preserve">Responder updated this value.</t>
      </text>
    </comment>
    <comment authorId="0" ref="G638">
      <text>
        <t xml:space="preserve">Responder updated this value.</t>
      </text>
    </comment>
    <comment authorId="0" ref="G639">
      <text>
        <t xml:space="preserve">Responder updated this value.</t>
      </text>
    </comment>
    <comment authorId="0" ref="J639">
      <text>
        <t xml:space="preserve">Responder updated this value.</t>
      </text>
    </comment>
    <comment authorId="0" ref="L639">
      <text>
        <t xml:space="preserve">Responder updated this value.</t>
      </text>
    </comment>
    <comment authorId="0" ref="M639">
      <text>
        <t xml:space="preserve">Responder updated this value.</t>
      </text>
    </comment>
    <comment authorId="0" ref="N639">
      <text>
        <t xml:space="preserve">Responder updated this value.</t>
      </text>
    </comment>
    <comment authorId="0" ref="G640">
      <text>
        <t xml:space="preserve">Responder updated this value.</t>
      </text>
    </comment>
    <comment authorId="0" ref="L640">
      <text>
        <t xml:space="preserve">Responder updated this value.</t>
      </text>
    </comment>
    <comment authorId="0" ref="G641">
      <text>
        <t xml:space="preserve">Responder updated this value.</t>
      </text>
    </comment>
    <comment authorId="0" ref="F642">
      <text>
        <t xml:space="preserve">Responder updated this value.</t>
      </text>
    </comment>
    <comment authorId="0" ref="G642">
      <text>
        <t xml:space="preserve">Responder updated this value.</t>
      </text>
    </comment>
    <comment authorId="0" ref="F643">
      <text>
        <t xml:space="preserve">Responder updated this value.</t>
      </text>
    </comment>
    <comment authorId="0" ref="G643">
      <text>
        <t xml:space="preserve">Responder updated this value.</t>
      </text>
    </comment>
    <comment authorId="0" ref="F644">
      <text>
        <t xml:space="preserve">Responder updated this value.</t>
      </text>
    </comment>
    <comment authorId="0" ref="G644">
      <text>
        <t xml:space="preserve">Responder updated this value.</t>
      </text>
    </comment>
    <comment authorId="0" ref="N644">
      <text>
        <t xml:space="preserve">Responder updated this value.</t>
      </text>
    </comment>
    <comment authorId="0" ref="F645">
      <text>
        <t xml:space="preserve">Responder updated this value.</t>
      </text>
    </comment>
    <comment authorId="0" ref="G645">
      <text>
        <t xml:space="preserve">Responder updated this value.</t>
      </text>
    </comment>
    <comment authorId="0" ref="G646">
      <text>
        <t xml:space="preserve">Responder updated this value.</t>
      </text>
    </comment>
    <comment authorId="0" ref="L646">
      <text>
        <t xml:space="preserve">Responder updated this value.</t>
      </text>
    </comment>
    <comment authorId="0" ref="G647">
      <text>
        <t xml:space="preserve">Responder updated this value.</t>
      </text>
    </comment>
    <comment authorId="0" ref="B648">
      <text>
        <t xml:space="preserve">Responder updated this value.</t>
      </text>
    </comment>
    <comment authorId="0" ref="G648">
      <text>
        <t xml:space="preserve">Responder updated this value.</t>
      </text>
    </comment>
    <comment authorId="0" ref="J648">
      <text>
        <t xml:space="preserve">Responder updated this value.</t>
      </text>
    </comment>
    <comment authorId="0" ref="L648">
      <text>
        <t xml:space="preserve">Responder updated this value.</t>
      </text>
    </comment>
    <comment authorId="0" ref="M648">
      <text>
        <t xml:space="preserve">Responder updated this value.</t>
      </text>
    </comment>
    <comment authorId="0" ref="N648">
      <text>
        <t xml:space="preserve">Responder updated this value.</t>
      </text>
    </comment>
    <comment authorId="0" ref="G649">
      <text>
        <t xml:space="preserve">Responder updated this value.</t>
      </text>
    </comment>
    <comment authorId="0" ref="G650">
      <text>
        <t xml:space="preserve">Responder updated this value.</t>
      </text>
    </comment>
    <comment authorId="0" ref="D651">
      <text>
        <t xml:space="preserve">Responder updated this value.</t>
      </text>
    </comment>
    <comment authorId="0" ref="F651">
      <text>
        <t xml:space="preserve">Responder updated this value.</t>
      </text>
    </comment>
    <comment authorId="0" ref="G651">
      <text>
        <t xml:space="preserve">Responder updated this value.</t>
      </text>
    </comment>
    <comment authorId="0" ref="I651">
      <text>
        <t xml:space="preserve">Responder updated this value.</t>
      </text>
    </comment>
    <comment authorId="0" ref="M651">
      <text>
        <t xml:space="preserve">Responder updated this value.</t>
      </text>
    </comment>
    <comment authorId="0" ref="N651">
      <text>
        <t xml:space="preserve">Responder updated this value.</t>
      </text>
    </comment>
    <comment authorId="0" ref="G652">
      <text>
        <t xml:space="preserve">Responder updated this value.</t>
      </text>
    </comment>
    <comment authorId="0" ref="C653">
      <text>
        <t xml:space="preserve">Responder updated this value.</t>
      </text>
    </comment>
    <comment authorId="0" ref="G653">
      <text>
        <t xml:space="preserve">Responder updated this value.</t>
      </text>
    </comment>
    <comment authorId="0" ref="G654">
      <text>
        <t xml:space="preserve">Responder updated this value.</t>
      </text>
    </comment>
    <comment authorId="0" ref="F655">
      <text>
        <t xml:space="preserve">Responder updated this value.</t>
      </text>
    </comment>
    <comment authorId="0" ref="G655">
      <text>
        <t xml:space="preserve">Responder updated this value.</t>
      </text>
    </comment>
    <comment authorId="0" ref="J655">
      <text>
        <t xml:space="preserve">Responder updated this value.</t>
      </text>
    </comment>
    <comment authorId="0" ref="F656">
      <text>
        <t xml:space="preserve">Responder updated this value.</t>
      </text>
    </comment>
    <comment authorId="0" ref="G656">
      <text>
        <t xml:space="preserve">Responder updated this value.</t>
      </text>
    </comment>
    <comment authorId="0" ref="F657">
      <text>
        <t xml:space="preserve">Responder updated this value.</t>
      </text>
    </comment>
    <comment authorId="0" ref="F659">
      <text>
        <t xml:space="preserve">Responder updated this value.</t>
      </text>
    </comment>
    <comment authorId="0" ref="G659">
      <text>
        <t xml:space="preserve">Responder updated this value.</t>
      </text>
    </comment>
    <comment authorId="0" ref="F660">
      <text>
        <t xml:space="preserve">Responder updated this value.</t>
      </text>
    </comment>
    <comment authorId="0" ref="F663">
      <text>
        <t xml:space="preserve">Responder updated this value.</t>
      </text>
    </comment>
    <comment authorId="0" ref="G663">
      <text>
        <t xml:space="preserve">Responder updated this value.</t>
      </text>
    </comment>
    <comment authorId="0" ref="L667">
      <text>
        <t xml:space="preserve">Responder updated this value.</t>
      </text>
    </comment>
    <comment authorId="0" ref="M667">
      <text>
        <t xml:space="preserve">Responder updated this value.</t>
      </text>
    </comment>
    <comment authorId="0" ref="N667">
      <text>
        <t xml:space="preserve">Responder updated this value.</t>
      </text>
    </comment>
    <comment authorId="0" ref="F671">
      <text>
        <t xml:space="preserve">Responder updated this value.</t>
      </text>
    </comment>
    <comment authorId="0" ref="L671">
      <text>
        <t xml:space="preserve">Responder updated this value.</t>
      </text>
    </comment>
    <comment authorId="0" ref="C684">
      <text>
        <t xml:space="preserve">Responder updated this value.</t>
      </text>
    </comment>
    <comment authorId="0" ref="G684">
      <text>
        <t xml:space="preserve">Responder updated this value.</t>
      </text>
    </comment>
    <comment authorId="0" ref="F691">
      <text>
        <t xml:space="preserve">Responder updated this value.</t>
      </text>
    </comment>
    <comment authorId="0" ref="F695">
      <text>
        <t xml:space="preserve">Responder updated this value.</t>
      </text>
    </comment>
    <comment authorId="0" ref="F699">
      <text>
        <t xml:space="preserve">Responder updated this value.</t>
      </text>
    </comment>
    <comment authorId="0" ref="L699">
      <text>
        <t xml:space="preserve">Responder updated this value.</t>
      </text>
    </comment>
    <comment authorId="0" ref="D701">
      <text>
        <t xml:space="preserve">Responder updated this value.</t>
      </text>
    </comment>
    <comment authorId="0" ref="F701">
      <text>
        <t xml:space="preserve">Responder updated this value.</t>
      </text>
    </comment>
    <comment authorId="0" ref="F702">
      <text>
        <t xml:space="preserve">Responder updated this value.</t>
      </text>
    </comment>
    <comment authorId="0" ref="D706">
      <text>
        <t xml:space="preserve">Responder updated this value.</t>
      </text>
    </comment>
    <comment authorId="0" ref="E706">
      <text>
        <t xml:space="preserve">Responder updated this value.</t>
      </text>
    </comment>
    <comment authorId="0" ref="F706">
      <text>
        <t xml:space="preserve">Responder updated this value.</t>
      </text>
    </comment>
    <comment authorId="0" ref="D709">
      <text>
        <t xml:space="preserve">Responder updated this value.</t>
      </text>
    </comment>
    <comment authorId="0" ref="J709">
      <text>
        <t xml:space="preserve">Responder updated this value.</t>
      </text>
    </comment>
    <comment authorId="0" ref="L709">
      <text>
        <t xml:space="preserve">Responder updated this value.</t>
      </text>
    </comment>
    <comment authorId="0" ref="M709">
      <text>
        <t xml:space="preserve">Responder updated this value.</t>
      </text>
    </comment>
    <comment authorId="0" ref="N709">
      <text>
        <t xml:space="preserve">Responder updated this value.</t>
      </text>
    </comment>
    <comment authorId="0" ref="E713">
      <text>
        <t xml:space="preserve">Responder updated this value.</t>
      </text>
    </comment>
    <comment authorId="0" ref="F713">
      <text>
        <t xml:space="preserve">Responder updated this value.</t>
      </text>
    </comment>
    <comment authorId="0" ref="I713">
      <text>
        <t xml:space="preserve">Responder updated this value.</t>
      </text>
    </comment>
    <comment authorId="0" ref="J713">
      <text>
        <t xml:space="preserve">Responder updated this value.</t>
      </text>
    </comment>
    <comment authorId="0" ref="L713">
      <text>
        <t xml:space="preserve">Responder updated this value.</t>
      </text>
    </comment>
    <comment authorId="0" ref="M713">
      <text>
        <t xml:space="preserve">Responder updated this value.</t>
      </text>
    </comment>
    <comment authorId="0" ref="N713">
      <text>
        <t xml:space="preserve">Responder updated this value.</t>
      </text>
    </comment>
    <comment authorId="0" ref="D717">
      <text>
        <t xml:space="preserve">Responder updated this value.</t>
      </text>
    </comment>
    <comment authorId="0" ref="F717">
      <text>
        <t xml:space="preserve">Responder updated this value.</t>
      </text>
    </comment>
    <comment authorId="0" ref="D732">
      <text>
        <t xml:space="preserve">Responder updated this value.</t>
      </text>
    </comment>
    <comment authorId="0" ref="F732">
      <text>
        <t xml:space="preserve">Responder updated this value.</t>
      </text>
    </comment>
    <comment authorId="0" ref="F733">
      <text>
        <t xml:space="preserve">Responder updated this value.</t>
      </text>
    </comment>
    <comment authorId="0" ref="L733">
      <text>
        <t xml:space="preserve">Responder updated this value.</t>
      </text>
    </comment>
    <comment authorId="0" ref="F737">
      <text>
        <t xml:space="preserve">Responder updated this value.</t>
      </text>
    </comment>
    <comment authorId="0" ref="D738">
      <text>
        <t xml:space="preserve">Responder updated this value.</t>
      </text>
    </comment>
    <comment authorId="0" ref="F738">
      <text>
        <t xml:space="preserve">Responder updated this value.</t>
      </text>
    </comment>
    <comment authorId="0" ref="J738">
      <text>
        <t xml:space="preserve">Responder updated this value.</t>
      </text>
    </comment>
    <comment authorId="0" ref="L738">
      <text>
        <t xml:space="preserve">Responder updated this value.</t>
      </text>
    </comment>
    <comment authorId="0" ref="F739">
      <text>
        <t xml:space="preserve">Responder updated this value.</t>
      </text>
    </comment>
    <comment authorId="0" ref="F740">
      <text>
        <t xml:space="preserve">Responder updated this value.</t>
      </text>
    </comment>
    <comment authorId="0" ref="J740">
      <text>
        <t xml:space="preserve">Responder updated this value.</t>
      </text>
    </comment>
    <comment authorId="0" ref="L740">
      <text>
        <t xml:space="preserve">Responder updated this value.</t>
      </text>
    </comment>
    <comment authorId="0" ref="M740">
      <text>
        <t xml:space="preserve">Responder updated this value.</t>
      </text>
    </comment>
    <comment authorId="0" ref="N740">
      <text>
        <t xml:space="preserve">Responder updated this value.</t>
      </text>
    </comment>
    <comment authorId="0" ref="N743">
      <text>
        <t xml:space="preserve">Responder updated this value.</t>
      </text>
    </comment>
    <comment authorId="0" ref="F746">
      <text>
        <t xml:space="preserve">Responder updated this value.</t>
      </text>
    </comment>
    <comment authorId="0" ref="F747">
      <text>
        <t xml:space="preserve">Responder updated this value.</t>
      </text>
    </comment>
    <comment authorId="0" ref="F749">
      <text>
        <t xml:space="preserve">Responder updated this value.</t>
      </text>
    </comment>
    <comment authorId="0" ref="N750">
      <text>
        <t xml:space="preserve">Responder updated this value.</t>
      </text>
    </comment>
    <comment authorId="0" ref="F758">
      <text>
        <t xml:space="preserve">Responder updated this value.</t>
      </text>
    </comment>
    <comment authorId="0" ref="L758">
      <text>
        <t xml:space="preserve">Responder updated this value.</t>
      </text>
    </comment>
    <comment authorId="0" ref="N759">
      <text>
        <t xml:space="preserve">Responder updated this value.</t>
      </text>
    </comment>
    <comment authorId="0" ref="D760">
      <text>
        <t xml:space="preserve">Responder updated this value.</t>
      </text>
    </comment>
    <comment authorId="0" ref="F760">
      <text>
        <t xml:space="preserve">Responder updated this value.</t>
      </text>
    </comment>
    <comment authorId="0" ref="J760">
      <text>
        <t xml:space="preserve">Responder updated this value.</t>
      </text>
    </comment>
    <comment authorId="0" ref="M760">
      <text>
        <t xml:space="preserve">Responder updated this value.</t>
      </text>
    </comment>
    <comment authorId="0" ref="B761">
      <text>
        <t xml:space="preserve">Responder updated this value.</t>
      </text>
    </comment>
    <comment authorId="0" ref="D761">
      <text>
        <t xml:space="preserve">Responder updated this value.</t>
      </text>
    </comment>
    <comment authorId="0" ref="E761">
      <text>
        <t xml:space="preserve">Responder updated this value.</t>
      </text>
    </comment>
    <comment authorId="0" ref="G761">
      <text>
        <t xml:space="preserve">Responder updated this value.</t>
      </text>
    </comment>
    <comment authorId="0" ref="M761">
      <text>
        <t xml:space="preserve">Responder updated this value.</t>
      </text>
    </comment>
    <comment authorId="0" ref="N761">
      <text>
        <t xml:space="preserve">Responder updated this value.</t>
      </text>
    </comment>
    <comment authorId="0" ref="F762">
      <text>
        <t xml:space="preserve">Responder updated this value.</t>
      </text>
    </comment>
    <comment authorId="0" ref="L762">
      <text>
        <t xml:space="preserve">Responder updated this value.</t>
      </text>
    </comment>
    <comment authorId="0" ref="F764">
      <text>
        <t xml:space="preserve">Responder updated this value.</t>
      </text>
    </comment>
    <comment authorId="0" ref="D765">
      <text>
        <t xml:space="preserve">Responder updated this value.</t>
      </text>
    </comment>
    <comment authorId="0" ref="F765">
      <text>
        <t xml:space="preserve">Responder updated this value.</t>
      </text>
    </comment>
    <comment authorId="0" ref="F767">
      <text>
        <t xml:space="preserve">Responder updated this value.</t>
      </text>
    </comment>
    <comment authorId="0" ref="F769">
      <text>
        <t xml:space="preserve">Responder updated this value.</t>
      </text>
    </comment>
    <comment authorId="0" ref="L769">
      <text>
        <t xml:space="preserve">Responder updated this value.</t>
      </text>
    </comment>
    <comment authorId="0" ref="F770">
      <text>
        <t xml:space="preserve">Responder updated this value.</t>
      </text>
    </comment>
    <comment authorId="0" ref="M770">
      <text>
        <t xml:space="preserve">Responder updated this value.</t>
      </text>
    </comment>
    <comment authorId="0" ref="N770">
      <text>
        <t xml:space="preserve">Responder updated this value.</t>
      </text>
    </comment>
    <comment authorId="0" ref="F773">
      <text>
        <t xml:space="preserve">Responder updated this value.</t>
      </text>
    </comment>
    <comment authorId="0" ref="F775">
      <text>
        <t xml:space="preserve">Responder updated this value.</t>
      </text>
    </comment>
    <comment authorId="0" ref="F776">
      <text>
        <t xml:space="preserve">Responder updated this value.</t>
      </text>
    </comment>
    <comment authorId="0" ref="I776">
      <text>
        <t xml:space="preserve">Responder updated this value.</t>
      </text>
    </comment>
    <comment authorId="0" ref="L776">
      <text>
        <t xml:space="preserve">Responder updated this value.</t>
      </text>
    </comment>
    <comment authorId="0" ref="F777">
      <text>
        <t xml:space="preserve">Responder updated this value.</t>
      </text>
    </comment>
    <comment authorId="0" ref="J778">
      <text>
        <t xml:space="preserve">Responder updated this value.</t>
      </text>
    </comment>
    <comment authorId="0" ref="L778">
      <text>
        <t xml:space="preserve">Responder updated this value.</t>
      </text>
    </comment>
    <comment authorId="0" ref="M778">
      <text>
        <t xml:space="preserve">Responder updated this value.</t>
      </text>
    </comment>
    <comment authorId="0" ref="F779">
      <text>
        <t xml:space="preserve">Responder updated this value.</t>
      </text>
    </comment>
    <comment authorId="0" ref="G779">
      <text>
        <t xml:space="preserve">Responder updated this value.</t>
      </text>
    </comment>
    <comment authorId="0" ref="F780">
      <text>
        <t xml:space="preserve">Responder updated this value.</t>
      </text>
    </comment>
    <comment authorId="0" ref="F781">
      <text>
        <t xml:space="preserve">Responder updated this value.</t>
      </text>
    </comment>
    <comment authorId="0" ref="F782">
      <text>
        <t xml:space="preserve">Responder updated this value.</t>
      </text>
    </comment>
    <comment authorId="0" ref="N782">
      <text>
        <t xml:space="preserve">Responder updated this value.</t>
      </text>
    </comment>
    <comment authorId="0" ref="J783">
      <text>
        <t xml:space="preserve">Responder updated this value.</t>
      </text>
    </comment>
    <comment authorId="0" ref="L783">
      <text>
        <t xml:space="preserve">Responder updated this value.</t>
      </text>
    </comment>
    <comment authorId="0" ref="M783">
      <text>
        <t xml:space="preserve">Responder updated this value.</t>
      </text>
    </comment>
    <comment authorId="0" ref="N783">
      <text>
        <t xml:space="preserve">Responder updated this value.</t>
      </text>
    </comment>
    <comment authorId="0" ref="D784">
      <text>
        <t xml:space="preserve">Responder updated this value.</t>
      </text>
    </comment>
    <comment authorId="0" ref="F784">
      <text>
        <t xml:space="preserve">Responder updated this value.</t>
      </text>
    </comment>
    <comment authorId="0" ref="J784">
      <text>
        <t xml:space="preserve">Responder updated this value.</t>
      </text>
    </comment>
    <comment authorId="0" ref="L784">
      <text>
        <t xml:space="preserve">Responder updated this value.</t>
      </text>
    </comment>
    <comment authorId="0" ref="M784">
      <text>
        <t xml:space="preserve">Responder updated this value.</t>
      </text>
    </comment>
    <comment authorId="0" ref="N784">
      <text>
        <t xml:space="preserve">Responder updated this value.</t>
      </text>
    </comment>
    <comment authorId="0" ref="F787">
      <text>
        <t xml:space="preserve">Responder updated this value.</t>
      </text>
    </comment>
    <comment authorId="0" ref="F788">
      <text>
        <t xml:space="preserve">Responder updated this value.</t>
      </text>
    </comment>
    <comment authorId="0" ref="F790">
      <text>
        <t xml:space="preserve">Responder updated this value.</t>
      </text>
    </comment>
    <comment authorId="0" ref="F791">
      <text>
        <t xml:space="preserve">Responder updated this value.</t>
      </text>
    </comment>
    <comment authorId="0" ref="I791">
      <text>
        <t xml:space="preserve">Responder updated this value.</t>
      </text>
    </comment>
    <comment authorId="0" ref="J791">
      <text>
        <t xml:space="preserve">Responder updated this value.</t>
      </text>
    </comment>
    <comment authorId="0" ref="N791">
      <text>
        <t xml:space="preserve">Responder updated this value.</t>
      </text>
    </comment>
    <comment authorId="0" ref="F793">
      <text>
        <t xml:space="preserve">Responder updated this value.</t>
      </text>
    </comment>
    <comment authorId="0" ref="F794">
      <text>
        <t xml:space="preserve">Responder updated this value.</t>
      </text>
    </comment>
    <comment authorId="0" ref="F795">
      <text>
        <t xml:space="preserve">Responder updated this value.</t>
      </text>
    </comment>
    <comment authorId="0" ref="F797">
      <text>
        <t xml:space="preserve">Responder updated this value.</t>
      </text>
    </comment>
    <comment authorId="0" ref="F798">
      <text>
        <t xml:space="preserve">Responder updated this value.</t>
      </text>
    </comment>
    <comment authorId="0" ref="N798">
      <text>
        <t xml:space="preserve">Responder updated this value.</t>
      </text>
    </comment>
    <comment authorId="0" ref="J799">
      <text>
        <t xml:space="preserve">Responder updated this value.</t>
      </text>
    </comment>
    <comment authorId="0" ref="L799">
      <text>
        <t xml:space="preserve">Responder updated this value.</t>
      </text>
    </comment>
    <comment authorId="0" ref="M799">
      <text>
        <t xml:space="preserve">Responder updated this value.</t>
      </text>
    </comment>
    <comment authorId="0" ref="E801">
      <text>
        <t xml:space="preserve">Responder updated this value.</t>
      </text>
    </comment>
    <comment authorId="0" ref="F801">
      <text>
        <t xml:space="preserve">Responder updated this value.</t>
      </text>
    </comment>
    <comment authorId="0" ref="L801">
      <text>
        <t xml:space="preserve">Responder updated this value.</t>
      </text>
    </comment>
    <comment authorId="0" ref="F802">
      <text>
        <t xml:space="preserve">Responder updated this value.</t>
      </text>
    </comment>
    <comment authorId="0" ref="D803">
      <text>
        <t xml:space="preserve">Responder updated this value.</t>
      </text>
    </comment>
    <comment authorId="0" ref="E803">
      <text>
        <t xml:space="preserve">Responder updated this value.</t>
      </text>
    </comment>
    <comment authorId="0" ref="L803">
      <text>
        <t xml:space="preserve">Responder updated this value.</t>
      </text>
    </comment>
    <comment authorId="0" ref="M803">
      <text>
        <t xml:space="preserve">Responder updated this value.</t>
      </text>
    </comment>
    <comment authorId="0" ref="N803">
      <text>
        <t xml:space="preserve">Responder updated this value.</t>
      </text>
    </comment>
    <comment authorId="0" ref="C805">
      <text>
        <t xml:space="preserve">Responder updated this value.</t>
      </text>
    </comment>
    <comment authorId="0" ref="D805">
      <text>
        <t xml:space="preserve">Responder updated this value.</t>
      </text>
    </comment>
    <comment authorId="0" ref="F805">
      <text>
        <t xml:space="preserve">Responder updated this value.</t>
      </text>
    </comment>
    <comment authorId="0" ref="G805">
      <text>
        <t xml:space="preserve">Responder updated this value.</t>
      </text>
    </comment>
    <comment authorId="0" ref="L805">
      <text>
        <t xml:space="preserve">Responder updated this value.</t>
      </text>
    </comment>
    <comment authorId="0" ref="F808">
      <text>
        <t xml:space="preserve">Responder updated this value.</t>
      </text>
    </comment>
    <comment authorId="0" ref="D809">
      <text>
        <t xml:space="preserve">Responder updated this value.</t>
      </text>
    </comment>
    <comment authorId="0" ref="E809">
      <text>
        <t xml:space="preserve">Responder updated this value.</t>
      </text>
    </comment>
    <comment authorId="0" ref="I809">
      <text>
        <t xml:space="preserve">Responder updated this value.</t>
      </text>
    </comment>
    <comment authorId="0" ref="J809">
      <text>
        <t xml:space="preserve">Responder updated this value.</t>
      </text>
    </comment>
    <comment authorId="0" ref="L809">
      <text>
        <t xml:space="preserve">Responder updated this value.</t>
      </text>
    </comment>
    <comment authorId="0" ref="M809">
      <text>
        <t xml:space="preserve">Responder updated this value.</t>
      </text>
    </comment>
    <comment authorId="0" ref="L811">
      <text>
        <t xml:space="preserve">Responder updated this value.</t>
      </text>
    </comment>
    <comment authorId="0" ref="F815">
      <text>
        <t xml:space="preserve">Responder updated this value.</t>
      </text>
    </comment>
    <comment authorId="0" ref="L815">
      <text>
        <t xml:space="preserve">Responder updated this value.</t>
      </text>
    </comment>
    <comment authorId="0" ref="I819">
      <text>
        <t xml:space="preserve">Responder updated this value.</t>
      </text>
    </comment>
    <comment authorId="0" ref="J819">
      <text>
        <t xml:space="preserve">Responder updated this value.</t>
      </text>
    </comment>
    <comment authorId="0" ref="L819">
      <text>
        <t xml:space="preserve">Responder updated this value.</t>
      </text>
    </comment>
    <comment authorId="0" ref="M819">
      <text>
        <t xml:space="preserve">Responder updated this value.</t>
      </text>
    </comment>
    <comment authorId="0" ref="N819">
      <text>
        <t xml:space="preserve">Responder updated this value.</t>
      </text>
    </comment>
    <comment authorId="0" ref="D826">
      <text>
        <t xml:space="preserve">Responder updated this value.</t>
      </text>
    </comment>
    <comment authorId="0" ref="J826">
      <text>
        <t xml:space="preserve">Responder updated this value.</t>
      </text>
    </comment>
    <comment authorId="0" ref="M826">
      <text>
        <t xml:space="preserve">Responder updated this value.</t>
      </text>
    </comment>
    <comment authorId="0" ref="F827">
      <text>
        <t xml:space="preserve">Responder updated this value.</t>
      </text>
    </comment>
    <comment authorId="0" ref="N827">
      <text>
        <t xml:space="preserve">Responder updated this value.</t>
      </text>
    </comment>
    <comment authorId="0" ref="F828">
      <text>
        <t xml:space="preserve">Responder updated this value.</t>
      </text>
    </comment>
    <comment authorId="0" ref="G828">
      <text>
        <t xml:space="preserve">Responder updated this value.</t>
      </text>
    </comment>
    <comment authorId="0" ref="L828">
      <text>
        <t xml:space="preserve">Responder updated this value.</t>
      </text>
    </comment>
    <comment authorId="0" ref="N829">
      <text>
        <t xml:space="preserve">Responder updated this value.</t>
      </text>
    </comment>
    <comment authorId="0" ref="F831">
      <text>
        <t xml:space="preserve">Responder updated this value.</t>
      </text>
    </comment>
    <comment authorId="0" ref="D832">
      <text>
        <t xml:space="preserve">Responder updated this value.</t>
      </text>
    </comment>
    <comment authorId="0" ref="E832">
      <text>
        <t xml:space="preserve">Responder updated this value.</t>
      </text>
    </comment>
    <comment authorId="0" ref="F832">
      <text>
        <t xml:space="preserve">Responder updated this value.</t>
      </text>
    </comment>
    <comment authorId="0" ref="M832">
      <text>
        <t xml:space="preserve">Responder updated this value.</t>
      </text>
    </comment>
    <comment authorId="0" ref="N832">
      <text>
        <t xml:space="preserve">Responder updated this value.</t>
      </text>
    </comment>
    <comment authorId="0" ref="F834">
      <text>
        <t xml:space="preserve">Responder updated this value.</t>
      </text>
    </comment>
    <comment authorId="0" ref="L835">
      <text>
        <t xml:space="preserve">Responder updated this value.</t>
      </text>
    </comment>
    <comment authorId="0" ref="C837">
      <text>
        <t xml:space="preserve">Responder updated this value.</t>
      </text>
    </comment>
    <comment authorId="0" ref="D837">
      <text>
        <t xml:space="preserve">Responder updated this value.</t>
      </text>
    </comment>
    <comment authorId="0" ref="E837">
      <text>
        <t xml:space="preserve">Responder updated this value.</t>
      </text>
    </comment>
    <comment authorId="0" ref="F837">
      <text>
        <t xml:space="preserve">Responder updated this value.</t>
      </text>
    </comment>
    <comment authorId="0" ref="G837">
      <text>
        <t xml:space="preserve">Responder updated this value.</t>
      </text>
    </comment>
    <comment authorId="0" ref="F857">
      <text>
        <t xml:space="preserve">Responder updated this value.</t>
      </text>
    </comment>
    <comment authorId="0" ref="L857">
      <text>
        <t xml:space="preserve">Responder updated this value.</t>
      </text>
    </comment>
    <comment authorId="0" ref="F858">
      <text>
        <t xml:space="preserve">Responder updated this value.</t>
      </text>
    </comment>
    <comment authorId="0" ref="I861">
      <text>
        <t xml:space="preserve">Responder updated this value.</t>
      </text>
    </comment>
    <comment authorId="0" ref="L861">
      <text>
        <t xml:space="preserve">Responder updated this value.</t>
      </text>
    </comment>
    <comment authorId="0" ref="F863">
      <text>
        <t xml:space="preserve">Responder updated this value.</t>
      </text>
    </comment>
    <comment authorId="0" ref="F864">
      <text>
        <t xml:space="preserve">Responder updated this value.</t>
      </text>
    </comment>
    <comment authorId="0" ref="F865">
      <text>
        <t xml:space="preserve">Responder updated this value.</t>
      </text>
    </comment>
    <comment authorId="0" ref="F866">
      <text>
        <t xml:space="preserve">Responder updated this value.</t>
      </text>
    </comment>
    <comment authorId="0" ref="L866">
      <text>
        <t xml:space="preserve">Responder updated this value.</t>
      </text>
    </comment>
    <comment authorId="0" ref="N866">
      <text>
        <t xml:space="preserve">Responder updated this value.</t>
      </text>
    </comment>
    <comment authorId="0" ref="M868">
      <text>
        <t xml:space="preserve">Responder updated this value.</t>
      </text>
    </comment>
    <comment authorId="0" ref="N868">
      <text>
        <t xml:space="preserve">Responder updated this value.</t>
      </text>
    </comment>
    <comment authorId="0" ref="C870">
      <text>
        <t xml:space="preserve">Responder updated this value.</t>
      </text>
    </comment>
    <comment authorId="0" ref="D870">
      <text>
        <t xml:space="preserve">Responder updated this value.</t>
      </text>
    </comment>
    <comment authorId="0" ref="E870">
      <text>
        <t xml:space="preserve">Responder updated this value.</t>
      </text>
    </comment>
    <comment authorId="0" ref="G870">
      <text>
        <t xml:space="preserve">Responder updated this value.</t>
      </text>
    </comment>
    <comment authorId="0" ref="J870">
      <text>
        <t xml:space="preserve">Responder updated this value.</t>
      </text>
    </comment>
    <comment authorId="0" ref="M870">
      <text>
        <t xml:space="preserve">Responder updated this value.</t>
      </text>
    </comment>
    <comment authorId="0" ref="N870">
      <text>
        <t xml:space="preserve">Responder updated this value.</t>
      </text>
    </comment>
    <comment authorId="0" ref="F872">
      <text>
        <t xml:space="preserve">Responder updated this value.</t>
      </text>
    </comment>
    <comment authorId="0" ref="F873">
      <text>
        <t xml:space="preserve">Responder updated this value.</t>
      </text>
    </comment>
    <comment authorId="0" ref="H873">
      <text>
        <t xml:space="preserve">Responder updated this value.</t>
      </text>
    </comment>
    <comment authorId="0" ref="L873">
      <text>
        <t xml:space="preserve">Responder updated this value.</t>
      </text>
    </comment>
    <comment authorId="0" ref="F875">
      <text>
        <t xml:space="preserve">Responder updated this value.</t>
      </text>
    </comment>
    <comment authorId="0" ref="L875">
      <text>
        <t xml:space="preserve">Responder updated this value.</t>
      </text>
    </comment>
    <comment authorId="0" ref="F876">
      <text>
        <t xml:space="preserve">Responder updated this value.</t>
      </text>
    </comment>
    <comment authorId="0" ref="M881">
      <text>
        <t xml:space="preserve">Responder updated this value.</t>
      </text>
    </comment>
    <comment authorId="0" ref="N881">
      <text>
        <t xml:space="preserve">Responder updated this value.</t>
      </text>
    </comment>
    <comment authorId="0" ref="F887">
      <text>
        <t xml:space="preserve">Responder updated this value.</t>
      </text>
    </comment>
    <comment authorId="0" ref="J887">
      <text>
        <t xml:space="preserve">Responder updated this value.</t>
      </text>
    </comment>
    <comment authorId="0" ref="M887">
      <text>
        <t xml:space="preserve">Responder updated this value.</t>
      </text>
    </comment>
    <comment authorId="0" ref="N887">
      <text>
        <t xml:space="preserve">Responder updated this value.</t>
      </text>
    </comment>
    <comment authorId="0" ref="F888">
      <text>
        <t xml:space="preserve">Responder updated this value.</t>
      </text>
    </comment>
    <comment authorId="0" ref="D889">
      <text>
        <t xml:space="preserve">Responder updated this value.</t>
      </text>
    </comment>
    <comment authorId="0" ref="J889">
      <text>
        <t xml:space="preserve">Responder updated this value.</t>
      </text>
    </comment>
    <comment authorId="0" ref="L889">
      <text>
        <t xml:space="preserve">Responder updated this value.</t>
      </text>
    </comment>
    <comment authorId="0" ref="M889">
      <text>
        <t xml:space="preserve">Responder updated this value.</t>
      </text>
    </comment>
    <comment authorId="0" ref="N889">
      <text>
        <t xml:space="preserve">Responder updated this value.</t>
      </text>
    </comment>
    <comment authorId="0" ref="D890">
      <text>
        <t xml:space="preserve">Responder updated this value.</t>
      </text>
    </comment>
    <comment authorId="0" ref="F890">
      <text>
        <t xml:space="preserve">Responder updated this value.</t>
      </text>
    </comment>
    <comment authorId="0" ref="L890">
      <text>
        <t xml:space="preserve">Responder updated this value.</t>
      </text>
    </comment>
    <comment authorId="0" ref="N890">
      <text>
        <t xml:space="preserve">Responder updated this value.</t>
      </text>
    </comment>
    <comment authorId="0" ref="I891">
      <text>
        <t xml:space="preserve">Responder updated this value.</t>
      </text>
    </comment>
    <comment authorId="0" ref="L891">
      <text>
        <t xml:space="preserve">Responder updated this value.</t>
      </text>
    </comment>
    <comment authorId="0" ref="F892">
      <text>
        <t xml:space="preserve">Responder updated this value.</t>
      </text>
    </comment>
    <comment authorId="0" ref="N892">
      <text>
        <t xml:space="preserve">Responder updated this value.</t>
      </text>
    </comment>
    <comment authorId="0" ref="D894">
      <text>
        <t xml:space="preserve">Responder updated this value.</t>
      </text>
    </comment>
    <comment authorId="0" ref="F894">
      <text>
        <t xml:space="preserve">Responder updated this value.</t>
      </text>
    </comment>
    <comment authorId="0" ref="F895">
      <text>
        <t xml:space="preserve">Responder updated this value.</t>
      </text>
    </comment>
    <comment authorId="0" ref="H895">
      <text>
        <t xml:space="preserve">Responder updated this value.</t>
      </text>
    </comment>
    <comment authorId="0" ref="L896">
      <text>
        <t xml:space="preserve">Responder updated this value.</t>
      </text>
    </comment>
    <comment authorId="0" ref="F900">
      <text>
        <t xml:space="preserve">Responder updated this value.</t>
      </text>
    </comment>
    <comment authorId="0" ref="J900">
      <text>
        <t xml:space="preserve">Responder updated this value.</t>
      </text>
    </comment>
    <comment authorId="0" ref="L900">
      <text>
        <t xml:space="preserve">Responder updated this value.</t>
      </text>
    </comment>
    <comment authorId="0" ref="N900">
      <text>
        <t xml:space="preserve">Responder updated this value.</t>
      </text>
    </comment>
    <comment authorId="0" ref="N901">
      <text>
        <t xml:space="preserve">Responder updated this value.</t>
      </text>
    </comment>
    <comment authorId="0" ref="F902">
      <text>
        <t xml:space="preserve">Responder updated this value.</t>
      </text>
    </comment>
    <comment authorId="0" ref="L902">
      <text>
        <t xml:space="preserve">Responder updated this value.</t>
      </text>
    </comment>
    <comment authorId="0" ref="F903">
      <text>
        <t xml:space="preserve">Responder updated this value.</t>
      </text>
    </comment>
    <comment authorId="0" ref="G903">
      <text>
        <t xml:space="preserve">Responder updated this value.</t>
      </text>
    </comment>
    <comment authorId="0" ref="L903">
      <text>
        <t xml:space="preserve">Responder updated this value.</t>
      </text>
    </comment>
    <comment authorId="0" ref="F904">
      <text>
        <t xml:space="preserve">Responder updated this value.</t>
      </text>
    </comment>
    <comment authorId="0" ref="D905">
      <text>
        <t xml:space="preserve">Responder updated this value.</t>
      </text>
    </comment>
    <comment authorId="0" ref="F905">
      <text>
        <t xml:space="preserve">Responder updated this value.</t>
      </text>
    </comment>
    <comment authorId="0" ref="F906">
      <text>
        <t xml:space="preserve">Responder updated this value.</t>
      </text>
    </comment>
    <comment authorId="0" ref="G906">
      <text>
        <t xml:space="preserve">Responder updated this value.</t>
      </text>
    </comment>
    <comment authorId="0" ref="L906">
      <text>
        <t xml:space="preserve">Responder updated this value.</t>
      </text>
    </comment>
    <comment authorId="0" ref="M906">
      <text>
        <t xml:space="preserve">Responder updated this value.</t>
      </text>
    </comment>
    <comment authorId="0" ref="F907">
      <text>
        <t xml:space="preserve">Responder updated this value.</t>
      </text>
    </comment>
    <comment authorId="0" ref="J907">
      <text>
        <t xml:space="preserve">Responder updated this value.</t>
      </text>
    </comment>
    <comment authorId="0" ref="M907">
      <text>
        <t xml:space="preserve">Responder updated this value.</t>
      </text>
    </comment>
    <comment authorId="0" ref="N907">
      <text>
        <t xml:space="preserve">Responder updated this value.</t>
      </text>
    </comment>
    <comment authorId="0" ref="F908">
      <text>
        <t xml:space="preserve">Responder updated this value.</t>
      </text>
    </comment>
    <comment authorId="0" ref="L908">
      <text>
        <t xml:space="preserve">Responder updated this value.</t>
      </text>
    </comment>
    <comment authorId="0" ref="F910">
      <text>
        <t xml:space="preserve">Responder updated this value.</t>
      </text>
    </comment>
    <comment authorId="0" ref="F913">
      <text>
        <t xml:space="preserve">Responder updated this value.</t>
      </text>
    </comment>
    <comment authorId="0" ref="F914">
      <text>
        <t xml:space="preserve">Responder updated this value.</t>
      </text>
    </comment>
    <comment authorId="0" ref="G915">
      <text>
        <t xml:space="preserve">Responder updated this value.</t>
      </text>
    </comment>
    <comment authorId="0" ref="F919">
      <text>
        <t xml:space="preserve">Responder updated this value.</t>
      </text>
    </comment>
    <comment authorId="0" ref="I920">
      <text>
        <t xml:space="preserve">Responder updated this value.</t>
      </text>
    </comment>
    <comment authorId="0" ref="L920">
      <text>
        <t xml:space="preserve">Responder updated this value.</t>
      </text>
    </comment>
    <comment authorId="0" ref="F921">
      <text>
        <t xml:space="preserve">Responder updated this value.</t>
      </text>
    </comment>
    <comment authorId="0" ref="D926">
      <text>
        <t xml:space="preserve">Responder updated this value.</t>
      </text>
    </comment>
    <comment authorId="0" ref="F926">
      <text>
        <t xml:space="preserve">Responder updated this value.</t>
      </text>
    </comment>
    <comment authorId="0" ref="J926">
      <text>
        <t xml:space="preserve">Responder updated this value.</t>
      </text>
    </comment>
    <comment authorId="0" ref="L926">
      <text>
        <t xml:space="preserve">Responder updated this value.</t>
      </text>
    </comment>
    <comment authorId="0" ref="F928">
      <text>
        <t xml:space="preserve">Responder updated this value.</t>
      </text>
    </comment>
    <comment authorId="0" ref="M929">
      <text>
        <t xml:space="preserve">Responder updated this value.</t>
      </text>
    </comment>
    <comment authorId="0" ref="F930">
      <text>
        <t xml:space="preserve">Responder updated this value.</t>
      </text>
    </comment>
    <comment authorId="0" ref="F931">
      <text>
        <t xml:space="preserve">Responder updated this value.</t>
      </text>
    </comment>
    <comment authorId="0" ref="N932">
      <text>
        <t xml:space="preserve">Responder updated this value.</t>
      </text>
    </comment>
    <comment authorId="0" ref="F933">
      <text>
        <t xml:space="preserve">Responder updated this value.</t>
      </text>
    </comment>
    <comment authorId="0" ref="F936">
      <text>
        <t xml:space="preserve">Responder updated this value.</t>
      </text>
    </comment>
    <comment authorId="0" ref="F937">
      <text>
        <t xml:space="preserve">Responder updated this value.</t>
      </text>
    </comment>
    <comment authorId="0" ref="L937">
      <text>
        <t xml:space="preserve">Responder updated this value.</t>
      </text>
    </comment>
    <comment authorId="0" ref="F939">
      <text>
        <t xml:space="preserve">Responder updated this value.</t>
      </text>
    </comment>
    <comment authorId="0" ref="N941">
      <text>
        <t xml:space="preserve">Responder updated this value.</t>
      </text>
    </comment>
    <comment authorId="0" ref="F942">
      <text>
        <t xml:space="preserve">Responder updated this value.</t>
      </text>
    </comment>
    <comment authorId="0" ref="F946">
      <text>
        <t xml:space="preserve">Responder updated this value.</t>
      </text>
    </comment>
    <comment authorId="0" ref="F952">
      <text>
        <t xml:space="preserve">Responder updated this value.</t>
      </text>
    </comment>
    <comment authorId="0" ref="G954">
      <text>
        <t xml:space="preserve">Responder updated this value.</t>
      </text>
    </comment>
    <comment authorId="0" ref="F955">
      <text>
        <t xml:space="preserve">Responder updated this value.</t>
      </text>
    </comment>
    <comment authorId="0" ref="F956">
      <text>
        <t xml:space="preserve">Responder updated this value.</t>
      </text>
    </comment>
    <comment authorId="0" ref="L958">
      <text>
        <t xml:space="preserve">Responder updated this value.</t>
      </text>
    </comment>
    <comment authorId="0" ref="L959">
      <text>
        <t xml:space="preserve">Responder updated this value.</t>
      </text>
    </comment>
    <comment authorId="0" ref="F960">
      <text>
        <t xml:space="preserve">Responder updated this value.</t>
      </text>
    </comment>
    <comment authorId="0" ref="L960">
      <text>
        <t xml:space="preserve">Responder updated this value.</t>
      </text>
    </comment>
    <comment authorId="0" ref="F962">
      <text>
        <t xml:space="preserve">Responder updated this value.</t>
      </text>
    </comment>
    <comment authorId="0" ref="L962">
      <text>
        <t xml:space="preserve">Responder updated this value.</t>
      </text>
    </comment>
    <comment authorId="0" ref="F963">
      <text>
        <t xml:space="preserve">Responder updated this value.</t>
      </text>
    </comment>
    <comment authorId="0" ref="J963">
      <text>
        <t xml:space="preserve">Responder updated this value.</t>
      </text>
    </comment>
    <comment authorId="0" ref="M963">
      <text>
        <t xml:space="preserve">Responder updated this value.</t>
      </text>
    </comment>
    <comment authorId="0" ref="N963">
      <text>
        <t xml:space="preserve">Responder updated this value.</t>
      </text>
    </comment>
  </commentList>
</comments>
</file>

<file path=xl/sharedStrings.xml><?xml version="1.0" encoding="utf-8"?>
<sst xmlns="http://schemas.openxmlformats.org/spreadsheetml/2006/main" count="8781" uniqueCount="3700">
  <si>
    <t>Timestamp</t>
  </si>
  <si>
    <t>Property Type</t>
  </si>
  <si>
    <t>Building / Street Number</t>
  </si>
  <si>
    <t>Street Name</t>
  </si>
  <si>
    <t>Municipality / City / Suburb</t>
  </si>
  <si>
    <t>State / Province</t>
  </si>
  <si>
    <t>Post Code / Zip Code</t>
  </si>
  <si>
    <t>Country</t>
  </si>
  <si>
    <t>Sales Status</t>
  </si>
  <si>
    <t>Sale / Asking Amount</t>
  </si>
  <si>
    <t>Sale Currency</t>
  </si>
  <si>
    <t>Date of Sale / Listing</t>
  </si>
  <si>
    <t>Property Listing Link</t>
  </si>
  <si>
    <t>Comments</t>
  </si>
  <si>
    <t>Year of Sale</t>
  </si>
  <si>
    <t>Currency Code</t>
  </si>
  <si>
    <t>Exchange Rate</t>
  </si>
  <si>
    <t>USD Value</t>
  </si>
  <si>
    <t>Kingdom Hall</t>
  </si>
  <si>
    <t>alejandro suarez</t>
  </si>
  <si>
    <t>maipu</t>
  </si>
  <si>
    <t>mendoza</t>
  </si>
  <si>
    <t>n/a</t>
  </si>
  <si>
    <t>Argentina - AR</t>
  </si>
  <si>
    <t>For Sale</t>
  </si>
  <si>
    <t>United States dollar - USD</t>
  </si>
  <si>
    <t>https://casa.mercadolibre.com.ar/MLA-854740182-se-vende-propiedad-en-alejandro-suarez-maipu-_JM#reco_item_pos=0&amp;reco_backend=triggered_realestate_recommendations&amp;reco_backend_type=function&amp;reco_client=classi-realestate-vip&amp;reco_id=c6a80aae-7838-4e36-b2f9-8215a768200e</t>
  </si>
  <si>
    <t>Tropero Sosa</t>
  </si>
  <si>
    <t>Maipu'</t>
  </si>
  <si>
    <t>Mendoza</t>
  </si>
  <si>
    <t>Argentine peso - ARS</t>
  </si>
  <si>
    <t>https://casa.mercadolibre.com.ar/MLA-840744102-se-vende-inmueble-en-tropero-sosa-maipu-_JM</t>
  </si>
  <si>
    <t>Pres. Sarmiento</t>
  </si>
  <si>
    <t>Longchamps, Buenos Aires</t>
  </si>
  <si>
    <t>B1854EPB</t>
  </si>
  <si>
    <t>Whittle St</t>
  </si>
  <si>
    <t>Hughes</t>
  </si>
  <si>
    <t>ACT</t>
  </si>
  <si>
    <t>Australia - AU</t>
  </si>
  <si>
    <t>Sold</t>
  </si>
  <si>
    <t>Australian dollar - AUD</t>
  </si>
  <si>
    <t>https://www.commercialrealestate.com.au/property/17-whittle-street-hughes-act-2605-2014768496</t>
  </si>
  <si>
    <t>Sale Price Unknown - Private Treaty. Used Listing price as an estimate</t>
  </si>
  <si>
    <t>Berkeley Rd</t>
  </si>
  <si>
    <t>Berkeley</t>
  </si>
  <si>
    <t>NSW</t>
  </si>
  <si>
    <t>https://www.realestate.com.au/property/46-berkeley-rd-berkeley-nsw-2506</t>
  </si>
  <si>
    <t>Now a mosque</t>
  </si>
  <si>
    <t>Cooper Close</t>
  </si>
  <si>
    <t>Lennox Head</t>
  </si>
  <si>
    <t>https://www.domain.com.au/10-cooper-close-lennox-head-nsw-2478-2016233433</t>
  </si>
  <si>
    <t>Some one told me the land was donated and that person who donated the land is no longer a JW.  I bet they are cranky.</t>
  </si>
  <si>
    <t>Wallace Street</t>
  </si>
  <si>
    <t>Macksville</t>
  </si>
  <si>
    <t>https://www.realestate.com.au/sold/property-house-nsw-macksville-128070634</t>
  </si>
  <si>
    <t>Larmer Street</t>
  </si>
  <si>
    <t>Naranderra</t>
  </si>
  <si>
    <t>https://www.domain.com.au/property-profile/91-larmer-street-narrandera-nsw-2700</t>
  </si>
  <si>
    <t>Grassy Road</t>
  </si>
  <si>
    <t>Norfolk Island</t>
  </si>
  <si>
    <t>Notified via Gerry Hatrick</t>
  </si>
  <si>
    <t>Vacant Land</t>
  </si>
  <si>
    <t>Homestead Road</t>
  </si>
  <si>
    <t>Orchard Hills</t>
  </si>
  <si>
    <t>https://www.austlii.edu.au/cgi-bin/viewdoc/au/cases/nsw/NSWLEC/2017/1535.html?context=1;query=jehovahs%20witnesses;mask_path=&amp;fbclid=IwAR2sMclo28G6qFXEm8nBWetiXP5YWflAdFvQ89519c-UHruXOZ2O1GkeC2k</t>
  </si>
  <si>
    <t>From Gerry Hatrick</t>
  </si>
  <si>
    <t>Richardson Rd</t>
  </si>
  <si>
    <t>Raymond Terrace</t>
  </si>
  <si>
    <t>https://www.allhomes.com.au/sale/103-richardson-road-raymond-terrace-hunter-176712890</t>
  </si>
  <si>
    <t>Original listing price: $850,000 on 06 May 2019. Price updated on 01 July 2020.</t>
  </si>
  <si>
    <t>19-21</t>
  </si>
  <si>
    <t>East St</t>
  </si>
  <si>
    <t>Warners Bay</t>
  </si>
  <si>
    <t>https://www.realestate.com.au/sold/property-house-nsw-warners+bay-130610162</t>
  </si>
  <si>
    <t>Buyer: 7th Day Adventist Church</t>
  </si>
  <si>
    <t>Jumbuck Cres</t>
  </si>
  <si>
    <t>Woy Woy</t>
  </si>
  <si>
    <t>https://www.realestate.com.au/sold/property-other-nsw-woy+woy-108177176</t>
  </si>
  <si>
    <t>From Lara's list</t>
  </si>
  <si>
    <t>Acacia St</t>
  </si>
  <si>
    <t>Blackwater</t>
  </si>
  <si>
    <t>QLD</t>
  </si>
  <si>
    <t>https://www.onthehouse.com.au/property/qld/blackwater-4717/33-acacia-st-blackwater-qld-4717-5204890</t>
  </si>
  <si>
    <t>Sale amount provided by an inside contact.</t>
  </si>
  <si>
    <t>Grout St</t>
  </si>
  <si>
    <t>Caboolture</t>
  </si>
  <si>
    <t>http://img.ksou.cn/p.php?q=Caboolture&amp;sta=qld&amp;id=1296556&amp;address=8+Grout+Street%2C+Caboolture</t>
  </si>
  <si>
    <t>Old Cleveland Rd</t>
  </si>
  <si>
    <t>Camp Hill</t>
  </si>
  <si>
    <t>https://www.realestate.com.au/sold/property-house-qld-camp+hill-131673554</t>
  </si>
  <si>
    <t>3-7</t>
  </si>
  <si>
    <t>Lavelle Ct</t>
  </si>
  <si>
    <t>Clontarf</t>
  </si>
  <si>
    <t>https://www.onthehouse.com.au/property/qld/clontarf-4019/3--7-lavelle-ct-clontarf-qld-4019-13811034</t>
  </si>
  <si>
    <t>Laughlin St</t>
  </si>
  <si>
    <t>Kingston</t>
  </si>
  <si>
    <t>https://www.realestate.com.au/property/68-laughlin-st-kingston-qld-4114</t>
  </si>
  <si>
    <t xml:space="preserve">Sattler road </t>
  </si>
  <si>
    <t>Meridan plains</t>
  </si>
  <si>
    <t>https://www.realestate.com.au/property/42-sattler-rd-meridan-plains-qld-4551</t>
  </si>
  <si>
    <t>Purchased by caloundra congregation in 2013. I was an elder at the time in that congregation. We were waiting years for the society’s approval for a duplex hall to be built on this land. Eventually the LDC changes were introduced and we were told to sell the land we had purchased with our congregation funds and send the proceeds to headquarters.</t>
  </si>
  <si>
    <t>Colamba St</t>
  </si>
  <si>
    <t>Miles</t>
  </si>
  <si>
    <t>https://www.realestate.com.au/sold/property-house-qld-miles-122955890</t>
  </si>
  <si>
    <t>Shute Harbour Road</t>
  </si>
  <si>
    <t>Mount Julian</t>
  </si>
  <si>
    <t>https://www.realestate.com.au/sold/property-house-qld-mount+julian-127916114</t>
  </si>
  <si>
    <t>Tucker Street</t>
  </si>
  <si>
    <t>Tara</t>
  </si>
  <si>
    <t>James St</t>
  </si>
  <si>
    <t>Crafers</t>
  </si>
  <si>
    <t>SA</t>
  </si>
  <si>
    <t>https://www.onthehouse.com.au/property/sa/crafers-5152/8-james-st-crafers-sa-5152-17430674</t>
  </si>
  <si>
    <t>Yorktown Rd</t>
  </si>
  <si>
    <t>Craigmore</t>
  </si>
  <si>
    <t>https://www.realestate.com.au/property/211-yorktown-rd-craigmore-sa-5114</t>
  </si>
  <si>
    <t>Cnr Botany Dr &amp; The Golden Way</t>
  </si>
  <si>
    <t>Golden Grove</t>
  </si>
  <si>
    <t>https://www.commercialrealestate.com.au/property/corner-of-botany-drive-the-golden-way-golden-grove-sa-5125-2014848285</t>
  </si>
  <si>
    <t>Woodside Rd</t>
  </si>
  <si>
    <t>Lobethal</t>
  </si>
  <si>
    <t>https://www.onthehouse.com.au/property/sa/lobethal-5241/53-woodside-rd-lobethal-sa-5241-10619087</t>
  </si>
  <si>
    <t>Geddes Rd</t>
  </si>
  <si>
    <t>Port Pirie</t>
  </si>
  <si>
    <t>https://www.domain.com.au/62-geddes-road-port-pirie-sa-5540-2014408303</t>
  </si>
  <si>
    <t>Originally listed: $399,000; https://www.realestate.com.au/property-house-sa-port+pirie-128474658</t>
  </si>
  <si>
    <t>Bowden Dr</t>
  </si>
  <si>
    <t>Bridgewater</t>
  </si>
  <si>
    <t>TAS</t>
  </si>
  <si>
    <t>https://www.domain.com.au/property-profile/10-bowden-drive-bridgewater-tas-7030</t>
  </si>
  <si>
    <t>Cong closed date as sale date</t>
  </si>
  <si>
    <t>Charles St</t>
  </si>
  <si>
    <t>Triabunna</t>
  </si>
  <si>
    <t>https://www.realestate.com.au/property/64-charles-st-triabunna-tas-7190</t>
  </si>
  <si>
    <t>Allambie Cres</t>
  </si>
  <si>
    <t>Ulverstone</t>
  </si>
  <si>
    <t>https://www.realestate.com.au/property/22-allambie-cres-ulverstone-tas-7315</t>
  </si>
  <si>
    <t>Listed: $695,000</t>
  </si>
  <si>
    <t>Marine Parade</t>
  </si>
  <si>
    <t>Hastings</t>
  </si>
  <si>
    <t>VIC</t>
  </si>
  <si>
    <t>https://www.domain.com.au/property-profile/192-marine-parade-hastings-vic-3915</t>
  </si>
  <si>
    <t>Luckie St</t>
  </si>
  <si>
    <t>Nunawading</t>
  </si>
  <si>
    <t>https://www.realestate.com.au/property/72-luckie-st-nunawading-vic-3131?fbclid=IwAR2vFfulH5QgAS12hykWlBjsvaKG6wf_YXzh2PEXwB_D8uehfmVub95W6EI</t>
  </si>
  <si>
    <t>Provided by G. Hatrick</t>
  </si>
  <si>
    <t>69-71</t>
  </si>
  <si>
    <t>Athol Rd</t>
  </si>
  <si>
    <t>Springvale South</t>
  </si>
  <si>
    <t>https://www.realestate.com.au/property/69-71-athol-rd-springvale-south-vic-3172</t>
  </si>
  <si>
    <t>Rosanna road</t>
  </si>
  <si>
    <t>Heidelberg</t>
  </si>
  <si>
    <t>Victoria</t>
  </si>
  <si>
    <t>Now a block of flats. Original building possibly demolished.</t>
  </si>
  <si>
    <t>Wallington Rd</t>
  </si>
  <si>
    <t>Balga</t>
  </si>
  <si>
    <t>WA</t>
  </si>
  <si>
    <t>https://www.realestate.com.au/property/13-wallington-rd-balga-wa-6061</t>
  </si>
  <si>
    <t>Millard St</t>
  </si>
  <si>
    <t>Derby</t>
  </si>
  <si>
    <t>https://www.domain.com.au/property-profile/13-millard-street-derby-wa-6728?fbclid=IwAR2HT8kGKDGU93RkxcO8qMrUwvnJ7VoU2qzQAct6yzZB1Pk5-EasJV2ZiMo</t>
  </si>
  <si>
    <t>On a list held by Kim Brooks. Sold by Private Treaty which is std JW tactic.</t>
  </si>
  <si>
    <t>44-46</t>
  </si>
  <si>
    <t>Chelsea Ct</t>
  </si>
  <si>
    <t>Dianella, Perth</t>
  </si>
  <si>
    <t>https://perth.ljhcommercial.com.au/other-in-dianella-wa-6059-au-13ghga?search=%2fsearch%2fcommercial-property-for-sale%2fpage-2%3f#.XmQ0aqgzZhE</t>
  </si>
  <si>
    <t>Used congregation closed date as sale date</t>
  </si>
  <si>
    <t>5-7</t>
  </si>
  <si>
    <t>Irwin Rd</t>
  </si>
  <si>
    <t>Embleton</t>
  </si>
  <si>
    <t>https://www.ljhcommercial.com.au/blog/media-centre/march-2018/developers-bow-out-as-church-site-changes-faiths</t>
  </si>
  <si>
    <t>Buyer: Shree Swaminarayan Sidhant Sajivan Mandal Perth INC (Hindu)</t>
  </si>
  <si>
    <t>Tyrol, Innsbruck</t>
  </si>
  <si>
    <t>Austria - AT</t>
  </si>
  <si>
    <t>European euro - EUR</t>
  </si>
  <si>
    <t>On Kimmy's list</t>
  </si>
  <si>
    <t>Dolphin Drive</t>
  </si>
  <si>
    <t>Nassau</t>
  </si>
  <si>
    <t>New Providence</t>
  </si>
  <si>
    <t>Bahamas - BS</t>
  </si>
  <si>
    <t>Bahamian dollar - BSD</t>
  </si>
  <si>
    <t>Public Notice
Ministry of Public Works
Department of Physical Planning
The public is hereby notified that an application for preliminary support of application approval
(PSA/173/2019) On behalf of the *Poinciana Recovery Institute And Dr. Barrett McCartney* is
presently being reviewed by the Department of Physical Planning for presentation to the Town
Planning Committee
The applicant is seeking planning approval to change the use of the existing new providence
branch after *Watch Tower Bible and tract Society administration offices* to a long-term care
facility for elderly, stroke and head trauma patients.
The site is located on Hillview Court, East of the Highland Park subdivision. The existing building
on the site has two floors and consists of a reception/lobby area, offices, dining room, large
kitchen, and eight bedrooms with bathroom facilities and closets.
Parking for thirteen (13) vehicles exist on the site.
A public meeting will be held on March 24, 2020, at 7 PM, in the hearing room at the department
of physical planning for all interested parties to discuss an address planning issues related to
the proposed commercial development.
The application file for the proposed use is available for viewing at the department of physical
planning, located in the Adventura Plaza on John F. Kennedy Drive, during working hours of 9 AM
to 5 PM
Interested persons and organizations are invited to review the information on file and provide
written comments prior to the meeting.
Comments should be directed to the Acting Director of Physical Planning within 21 days of the
date of this notice. Submissions can be made via
PO Box N1611,
Nassau Bahamas. Fax 242-
328-3206 or Email to the Town Planning Secretary at: nandimaynard@bahamas.gov.bs
For further inquiries can be made to the acting director via telephone at 242-322-7550/1 or
242-328-3202 or email charleszonicle@bahamas.gov.bs.
QUESTIONS:
1) With the 24hrs Lockdown how was the community engaged with this project?
2) How could a medical facility be permitted inside a residential community?</t>
  </si>
  <si>
    <t>Quakoo St</t>
  </si>
  <si>
    <t>http://www.coldwellbankerbahamas.com/listing-sold-24-quakoo-street-16426.html</t>
  </si>
  <si>
    <t xml:space="preserve">Galloperstraat </t>
  </si>
  <si>
    <t>Koksijde</t>
  </si>
  <si>
    <t>België</t>
  </si>
  <si>
    <t>Belgium - BE</t>
  </si>
  <si>
    <t xml:space="preserve">51°6'27.1"N 2°39' 31.5"E  sold to " Vrijzinnig huis Koksijde" translated Free spirit house Koksijde. The irony ! Sold a couple of years ago. </t>
  </si>
  <si>
    <t>Assembly Hall</t>
  </si>
  <si>
    <t>Bioul</t>
  </si>
  <si>
    <t>Edmonton</t>
  </si>
  <si>
    <t>AB</t>
  </si>
  <si>
    <t>Canada - CA</t>
  </si>
  <si>
    <t>Canadian dollar - CAD</t>
  </si>
  <si>
    <t>Franklin Rd</t>
  </si>
  <si>
    <t>Kamloops</t>
  </si>
  <si>
    <t>BC</t>
  </si>
  <si>
    <t>V2B 6G7</t>
  </si>
  <si>
    <t>https://www.remax.ca/bc/kamloops-real-estate/779-franklin-road-wp_id256670650-lst</t>
  </si>
  <si>
    <t>Dallas Road</t>
  </si>
  <si>
    <t>Kelowna</t>
  </si>
  <si>
    <t>V1V 1P2</t>
  </si>
  <si>
    <t>https://www.royallepage.ca/en/property/british-columbia/kelowna/1880-dallas-road/11225984/mls10200356/</t>
  </si>
  <si>
    <t>Article also: https://infotel.ca/newsitem/this-kelowna-church-can-be-yours-for-just-under-3-million/it71323</t>
  </si>
  <si>
    <t>9th Ave</t>
  </si>
  <si>
    <t>Keremeos (?)</t>
  </si>
  <si>
    <t>V0X 1N3</t>
  </si>
  <si>
    <t>https://listings.soreb.org/listing/dp1p#!gallery</t>
  </si>
  <si>
    <t>Developers bought it</t>
  </si>
  <si>
    <t>97th St</t>
  </si>
  <si>
    <t>Osoyoos</t>
  </si>
  <si>
    <t>V0H 1V5</t>
  </si>
  <si>
    <t>https://www.redfin.ca/bc/osoyoos/6221-97th-St-V0H-1V5/home/170017601</t>
  </si>
  <si>
    <t>Cedar St</t>
  </si>
  <si>
    <t>Sicamous</t>
  </si>
  <si>
    <t>V0E 2V1</t>
  </si>
  <si>
    <t>https://www.zolo.ca/sicamous-real-estate/502-cedar-street</t>
  </si>
  <si>
    <t>Estimated sale amount based on stated listing amount on Kimmy's list.</t>
  </si>
  <si>
    <t>Woodstock Rd.</t>
  </si>
  <si>
    <t>Fredericton</t>
  </si>
  <si>
    <t>New Brunswick</t>
  </si>
  <si>
    <t>E3B2H5</t>
  </si>
  <si>
    <t>https://www.realtor.ca/real-estate/21641053/184-woodstock-road-fredericton</t>
  </si>
  <si>
    <t>Current listing does not show JW logo and property was recently sold (2018). using sale data in sale history.</t>
  </si>
  <si>
    <t>Nash Rd</t>
  </si>
  <si>
    <t>Courtice, Clarington</t>
  </si>
  <si>
    <t>ON</t>
  </si>
  <si>
    <t>L1E 2K8</t>
  </si>
  <si>
    <t>https://www.redfin.ca/on/clarington/1518-Nash-Rd-L1E-2K8/home/169991228</t>
  </si>
  <si>
    <t>Sale price not listed: Using asking price as an estimate.</t>
  </si>
  <si>
    <t>Caledonia St</t>
  </si>
  <si>
    <t>Niagara Falls</t>
  </si>
  <si>
    <t>Ontario</t>
  </si>
  <si>
    <t>L2G 5A6</t>
  </si>
  <si>
    <t>https://www.gallorealestateltd.com/ON/niagara-space-falls/l2g5a6/3809603-MLS-30562477-na-6735-Caledonia-Street</t>
  </si>
  <si>
    <t>1 Ave W</t>
  </si>
  <si>
    <t>Kindersley</t>
  </si>
  <si>
    <t>SK</t>
  </si>
  <si>
    <t>S0L 1S0</t>
  </si>
  <si>
    <t>https://www.remax.ca/commercial/sk/kindersley-real-estate/300-1-ave-w-off_id514709635f794a4eeac71099d182ff6a-prty</t>
  </si>
  <si>
    <t>Tagua Tagua</t>
  </si>
  <si>
    <t>Peñalolén, Santiago</t>
  </si>
  <si>
    <t>Chile - CL</t>
  </si>
  <si>
    <t>Chilean peso - CLP</t>
  </si>
  <si>
    <t>https://local.mercadolibre.cl/MLC-521040274-tagua-tagua-8235-_JM</t>
  </si>
  <si>
    <t>Originally listed for $144,400,000. https://local.mercadolibre.cl/MLC-518802220-propiedad-tagua-tagua-penalolen-_JM#reco_item_pos=3&amp;reco_backend=triggered_realestate_recommendations&amp;reco_backend_type=function&amp;reco_client=classi-realestate-vip&amp;reco_id=c7cc6f06-1e74-4252-a23c-f8fa3d4c39c5</t>
  </si>
  <si>
    <t>Alvarado, Tolima</t>
  </si>
  <si>
    <t>Colombia - CO</t>
  </si>
  <si>
    <t>Colombian peso - COP</t>
  </si>
  <si>
    <t>Bethel / Branch Property</t>
  </si>
  <si>
    <t>Calle 112</t>
  </si>
  <si>
    <t>La Asuncion de Belen, Belén</t>
  </si>
  <si>
    <t>Heredia</t>
  </si>
  <si>
    <t>Costa Rica - CR</t>
  </si>
  <si>
    <t>https://www.point2homes.com/CR/Commercial-For-Sale/Heredia/Belen/La-Asuncion-De-Belen/La-Asuncion-de-Belen/88789825.html</t>
  </si>
  <si>
    <t>Property includes: Assembly Hall and Kingdom Hall. https://www.google.com.au/maps/place/Jehovah's+Witnesses+Costa+Rica+Bethel,+Heredia+Province,+San+Antonio+District,+Bel%C3%A9n,+Costa+Rica/@9.9854131,-84.1698321,545m/data=!3m1!1e3!4m13!1m7!3m6!1s0x8fa0fbc9775e3c75:0x13399a5da057a5b7!2sLa+Asunci%C3%B3n,+Heredia+Province,+Bel%C3%A9n,+Costa+Rica!3b1!8m2!3d9.9797047!4d-84.1678982!3m4!1s0x8fa0fa3355175931:0x939894c9916803be!8m2!3d9.985456!4d-84.1702207?hl=en-GB</t>
  </si>
  <si>
    <t>Nygårdevej</t>
  </si>
  <si>
    <t>Herlufmagle</t>
  </si>
  <si>
    <t>Sjælland</t>
  </si>
  <si>
    <t>Denmark - DK</t>
  </si>
  <si>
    <t>Danish krone - DKK</t>
  </si>
  <si>
    <t>https://www.propertysale.dk/sale/Europe-EU/Denmark/Sj%C3%A6lland/nyg%C3%A5rdevej-2_EN.php?fc=0</t>
  </si>
  <si>
    <t>It's unclear what is what in the address. So I may have the street-town- province mixed up</t>
  </si>
  <si>
    <t>Kotikankaantie</t>
  </si>
  <si>
    <t>Oulu</t>
  </si>
  <si>
    <t>Finland - FI</t>
  </si>
  <si>
    <t>https://panoraama.com/jt/ksali_ou/Konventtisaliesite_engl.pdf</t>
  </si>
  <si>
    <t>Unknown date of sale. https://www.reddit.com/r/exjw/comments/9jmy3n/jehovahs_witnesses_sell_oulus_conventions_place/</t>
  </si>
  <si>
    <t xml:space="preserve">Röntgenstr </t>
  </si>
  <si>
    <t xml:space="preserve">Herzogenaurach </t>
  </si>
  <si>
    <t>Bavaria</t>
  </si>
  <si>
    <t>Germany - DE</t>
  </si>
  <si>
    <t>Marl</t>
  </si>
  <si>
    <t>Hamm</t>
  </si>
  <si>
    <t>https://www.immo-makler-team.de/immobilienangebote.xhtml?id[obj0]=809</t>
  </si>
  <si>
    <t>Dusseldorf</t>
  </si>
  <si>
    <t>Hellerhof</t>
  </si>
  <si>
    <t>https://www.immo-makler-team.de/immobilienangebote.xhtml?id[obj0]=899</t>
  </si>
  <si>
    <t>Behringstr</t>
  </si>
  <si>
    <t>Dortmund</t>
  </si>
  <si>
    <t>Hombruch</t>
  </si>
  <si>
    <t>https://www.immobilienscout24.de/expose/114945922#/</t>
  </si>
  <si>
    <t>Berliner Stausse</t>
  </si>
  <si>
    <t>Singen</t>
  </si>
  <si>
    <t>Konstanz</t>
  </si>
  <si>
    <t>https://www.suedkurier.de/region/kreis-konstanz/singen/mehr-platz-fuer-kinder-ehemaliger-versammlungsraum-der-zeugen-jehovas-soll-zum-kindergarten-werden;art372458,10568456</t>
  </si>
  <si>
    <t>Bought by the city for kindergarten day care</t>
  </si>
  <si>
    <t>Bochum</t>
  </si>
  <si>
    <t>Langendreer</t>
  </si>
  <si>
    <t>https://www.immo-makler-team.de/immobilienangebote.xhtml?id[obj0]=865</t>
  </si>
  <si>
    <t>Haldenweg</t>
  </si>
  <si>
    <t>Helmstedt</t>
  </si>
  <si>
    <t>Niedersachsen</t>
  </si>
  <si>
    <t>https://wahrheitenjetzt.de/jehovas-zeugen-koenigreichssaele-werden-ueber-ebay-kleinanzeigen-teuer-verkauft/</t>
  </si>
  <si>
    <t>Scroll down in the link under the other KH</t>
  </si>
  <si>
    <t>Sickingmuhler</t>
  </si>
  <si>
    <t>North Rhine</t>
  </si>
  <si>
    <t>https://wahrheitenjetzt.de/jehovas-zeugen-koenigreichssaal-in-marl-wird-bei-ebay-verkauft/</t>
  </si>
  <si>
    <t>Another one sold on Ebay</t>
  </si>
  <si>
    <t>Hansaallee</t>
  </si>
  <si>
    <t>Oberkassel</t>
  </si>
  <si>
    <t>https://www.immobilienscout24.de/expose/111480947#/</t>
  </si>
  <si>
    <t>Wendalinusstr</t>
  </si>
  <si>
    <t>Lebach</t>
  </si>
  <si>
    <t>Saarland</t>
  </si>
  <si>
    <t>https://www.1a-immobilienmarkt.de/expose/2996741.html?</t>
  </si>
  <si>
    <t>Was converted to a house</t>
  </si>
  <si>
    <t xml:space="preserve">Kannenstieg </t>
  </si>
  <si>
    <t>Schoningen</t>
  </si>
  <si>
    <t>SOLD thru EBAY!!!!</t>
  </si>
  <si>
    <t>Bruch</t>
  </si>
  <si>
    <t>Meschede</t>
  </si>
  <si>
    <t>Schwarzen</t>
  </si>
  <si>
    <t>https://www.wp.de/staedte/meschede-und-umland/zeugen-jehovas-verkaufen-ihren-koenigreichssaal-id11141965.html</t>
  </si>
  <si>
    <t>Sudenfelder Strasse</t>
  </si>
  <si>
    <t>Lengerich</t>
  </si>
  <si>
    <t>Steinfurt</t>
  </si>
  <si>
    <t>https://www.wn.de/Muensterland/Kreis-Steinfurt/Lengerich/3673435-Zeugen-Jehovas-geben-Koenigreichssaal-auf-Immobilie-soll-verkauft-werden</t>
  </si>
  <si>
    <t>25 A</t>
  </si>
  <si>
    <t>Kissinger</t>
  </si>
  <si>
    <t>bad Bruckenau</t>
  </si>
  <si>
    <t>https://www.kalaydo.de/immobilien/haus-kaufen/haus+im+teileigentum/a/a9c0b7ac/?</t>
  </si>
  <si>
    <t>Rodelwiesenstrasse</t>
  </si>
  <si>
    <t>Heubach</t>
  </si>
  <si>
    <t>https://www.immowelt.de/expose/2pz4f4x</t>
  </si>
  <si>
    <t>Mittlestr</t>
  </si>
  <si>
    <t>Kerken</t>
  </si>
  <si>
    <t>https://www.rheinland.immo/Objekt--in-Kerken-Nieukerk-ehemaliger-bahnhof-inkl.-versammlungssaal-grossflaechiger-wohnung-baulandreserve/IB-1849.htm</t>
  </si>
  <si>
    <t>Kerpen</t>
  </si>
  <si>
    <t>https://www.immo-makler-team.de/immobilienangebote.xhtml?id[obj0]=903</t>
  </si>
  <si>
    <t>8 A</t>
  </si>
  <si>
    <t>Mozart Str</t>
  </si>
  <si>
    <t>Muhldorf</t>
  </si>
  <si>
    <t>https://www.immobilienscout24.de/expose/86742480?utm_medium=referral&amp;utm_source=immosuchmaschine.de&amp;utm_campaign=residential&amp;utm_content=residential_expose#/</t>
  </si>
  <si>
    <t>Recklinghausen</t>
  </si>
  <si>
    <t>https://www.immo-makler-team.de/immobilienangebote.xhtml?id[obj0]=835</t>
  </si>
  <si>
    <t>Fichtenweg</t>
  </si>
  <si>
    <t>Schlangen</t>
  </si>
  <si>
    <t>https://www.ebay-kleinanzeigen.de/s-anzeige/vereinssaal-mit-zwei-wohnungen-in-schlangen/1345813602-208-1250?fbclid=IwAR2x9eymBEJCr2FLAldOUAoiueykH-C8Qjyzzjsy8h9Ehv8Qznfpg30pAzg</t>
  </si>
  <si>
    <t>ebay property listing. https://www.google.com.au/maps/place/Jehovas+Zeugen/@51.8000277,8.8222809,90m/data=!3m1!1e3!4m13!1m7!3m6!1s0x47ba4e4f2e532e8b:0xb9482efb248c4f0!2s33189+Schlangen,+Germany!3b1!8m2!3d51.8078091!4d8.8375711!3m4!1s0x47ba4e5eed96383f:0x98ae711ed2f8692a!8m2!3d51.8000165!4d8.8222575?hl=en-GB</t>
  </si>
  <si>
    <t xml:space="preserve">Hochrain str </t>
  </si>
  <si>
    <t>Schwandorf</t>
  </si>
  <si>
    <t>https://mapio.net/expose/3239505/?gallery=2</t>
  </si>
  <si>
    <t>Romerstrausse</t>
  </si>
  <si>
    <t>Stuttgart Sud</t>
  </si>
  <si>
    <t>https://www.immobilienscout24.de/expose/112053140#/</t>
  </si>
  <si>
    <t>Vlotho</t>
  </si>
  <si>
    <t>https://www.immo-makler-team.de/immobilienangebote.xhtml?id[obj0]=813</t>
  </si>
  <si>
    <t>Schutzacken str</t>
  </si>
  <si>
    <t>Weit am Rhein</t>
  </si>
  <si>
    <t>https://www.badische-zeitung.de/weiler-gemeinde-der-zeugen-jehovas-verkauft-den-koenigreichssaal--110756489.html</t>
  </si>
  <si>
    <t>Nordstraße</t>
  </si>
  <si>
    <t>Wermelskirchen</t>
  </si>
  <si>
    <t>https://rp-online.de/nrw/staedte/wermelskirchen/zeugen-jehovas-verkaufen-ihr-gebaeude_aid-46020487?fbclid=IwAR229X7dVUv2ZqNnlVWqOJPVMgMc2HDAbslMYpVjzYE-88u_sFnVmaukhjw</t>
  </si>
  <si>
    <t>Posener str</t>
  </si>
  <si>
    <t>Wilhelmshaven</t>
  </si>
  <si>
    <t>https://www.immowelt.de/expose/2s3bk4b</t>
  </si>
  <si>
    <t>Lindweg</t>
  </si>
  <si>
    <t>Wyhlen</t>
  </si>
  <si>
    <t>https://www.suedkurier.de/region/hochrhein/grenzach-wyhlen/Zeugen-Jehovas-verkaufen-ihren-Koenigreichssaal-in-Grenzach-Wyhlen;art372596,9079676</t>
  </si>
  <si>
    <t>Kifisias</t>
  </si>
  <si>
    <t>Marousi</t>
  </si>
  <si>
    <t>Greece - GR</t>
  </si>
  <si>
    <t>http://www.pspgreece.gr/en/commercial/kifisias-77</t>
  </si>
  <si>
    <t>12 &amp; 14 K</t>
  </si>
  <si>
    <t>Kent Road</t>
  </si>
  <si>
    <t>Kowloon Tong</t>
  </si>
  <si>
    <t>Kowloon</t>
  </si>
  <si>
    <t>None</t>
  </si>
  <si>
    <t>Hong Kong, SAR China - HK</t>
  </si>
  <si>
    <t>Hong Kong dollar - HKD</t>
  </si>
  <si>
    <t>https://www.savills.com.hk/_news/article/574/141879-0/12/2015/savills-appointed-sole-agent-for-the-tender-sale-of-12-and-14-kent-road--kowloon-tong</t>
  </si>
  <si>
    <t xml:space="preserve">Hong Kong Branch Office. The branch was located in large villa type houses in a very expensive part of Hong Kong. The listing refers to #12 &amp; #14, Kent Road but I know WT owned more property in Kent Road. They sold all these villas and move into a commercial building. </t>
  </si>
  <si>
    <t>R761</t>
  </si>
  <si>
    <t>Rockingham, Newcastle</t>
  </si>
  <si>
    <t>County Wicklow</t>
  </si>
  <si>
    <t>Ireland - IE</t>
  </si>
  <si>
    <t>https://www.irishtimes.com/business/commercial-property/jehovah-s-witness-to-sell-irish-hq-1.615365?fbclid=IwAR3t8obvT2E5oE3w4czoFTM7epM9hRILbvlNk0EZyDPajeX9BmHDEChmI6E</t>
  </si>
  <si>
    <t>Sale price unknown. Used media-stated guideline price as an estimate. Apparently bought by St. Catherines (unconfirmed). https://www.independent.ie/regionals/wicklowpeople/news/jehovahs-witnesses-hq-goes-on-market-27865725.html</t>
  </si>
  <si>
    <t>Gela</t>
  </si>
  <si>
    <t>Caltanissetta, Sicily</t>
  </si>
  <si>
    <t>Italy - IT</t>
  </si>
  <si>
    <t>August Town, St Andrew Parish</t>
  </si>
  <si>
    <t>Jamaica - JM</t>
  </si>
  <si>
    <t>Jamaican dollar - JMD</t>
  </si>
  <si>
    <t>http://jamaica-gleaner.com/article/news/20160410/jehovahs-witnesses-properties-sale-rising-costs-force-religious-group-go-small</t>
  </si>
  <si>
    <t>Giltress St</t>
  </si>
  <si>
    <t>East Kingston</t>
  </si>
  <si>
    <t>Cowper Dr</t>
  </si>
  <si>
    <t>Elletson St</t>
  </si>
  <si>
    <t>Waterhouse Dr</t>
  </si>
  <si>
    <t>St. Andrews</t>
  </si>
  <si>
    <t>On Kimmy's list. Estimated price based on stated price on list.</t>
  </si>
  <si>
    <t>Bennekom</t>
  </si>
  <si>
    <t>Netherlands - NL</t>
  </si>
  <si>
    <t>Peymeestersdreef</t>
  </si>
  <si>
    <t>Maastricht</t>
  </si>
  <si>
    <t>https://www.fundainbusiness.nl/kantoor/verkocht/maastricht/object-40652042-peymeestersdreef-22/</t>
  </si>
  <si>
    <t>Rimu Street</t>
  </si>
  <si>
    <t>Naenae</t>
  </si>
  <si>
    <t>Lower Hutt</t>
  </si>
  <si>
    <t>New Zealand - NZ</t>
  </si>
  <si>
    <t>New Zealand dollar - NZD</t>
  </si>
  <si>
    <t>https://www.qv.co.nz/property/20-rimu-street-naenae-lower-hutt-5011/942331</t>
  </si>
  <si>
    <t>Toe Toe Road</t>
  </si>
  <si>
    <t>Mangaweka</t>
  </si>
  <si>
    <t>Rangitikei</t>
  </si>
  <si>
    <t>https://www.oneroof.co.nz/estimate/690-toe-toe-road-mangaweka-rangitikei-manawatu-wanganui-581622</t>
  </si>
  <si>
    <t>Barrett Rd</t>
  </si>
  <si>
    <t>Whalers Gate, New Plymouth</t>
  </si>
  <si>
    <t>Taranaki</t>
  </si>
  <si>
    <t>https://www.qv.co.nz/property/44-barrett-road-whalers-gate-new-plymouth-4310/2835266</t>
  </si>
  <si>
    <t>Wainuimata Road</t>
  </si>
  <si>
    <t>Wainuiomata</t>
  </si>
  <si>
    <t>Wellington</t>
  </si>
  <si>
    <t>https://www.ratemyagent.co.nz/real-estate-agency/bayleys-upper-hutt-bayleys-realty-group-ltd/property-listings/94-wainuiomata-rd-wainuiomata-aaev3f</t>
  </si>
  <si>
    <t>Mahia Rd</t>
  </si>
  <si>
    <t>Wattle Downs, Auckland</t>
  </si>
  <si>
    <t>https://www.oneroof.co.nz/estimate/198-mahia-road-wattle-downs-1937680</t>
  </si>
  <si>
    <t>Buyer: Elim Church</t>
  </si>
  <si>
    <t>Birkelandsveien</t>
  </si>
  <si>
    <t>Lillesand</t>
  </si>
  <si>
    <t>Norway - NO</t>
  </si>
  <si>
    <t>Norwegian krone - NOK</t>
  </si>
  <si>
    <t>https://naringsmegleren.no/eiendommer/til-salgs/?id=180221986</t>
  </si>
  <si>
    <t>Submitted to Kimmy from 'Goatlike Personality'</t>
  </si>
  <si>
    <t>Kingdom hall with 7 apartments</t>
  </si>
  <si>
    <t>Vossegata</t>
  </si>
  <si>
    <t>Oslo</t>
  </si>
  <si>
    <t>0475</t>
  </si>
  <si>
    <t>https://www.google.com/maps/place/Vossegata+34,+0475+Oslo,+Norway/@59.9330366,10.7703306,3a,75y,283.47h,97.29t/data=!3m6!1e1!3m4!1s82qJ_ANBAPITgfeadLb08Q!2e0!7i16384!8i8192!4m5!3m4!1s0x46416e40033474c1:0xe655dddf8f6c98cd!8m2!3d59.9330792!4d10.7698467</t>
  </si>
  <si>
    <t>Gaupeveien 24</t>
  </si>
  <si>
    <t>Ytre Enebakk</t>
  </si>
  <si>
    <t>http://innsyn.seljord.kommune.no/innsynSeljord/Dmb/ShowDmbDocument?mId=410&amp;documentTypeId=MI</t>
  </si>
  <si>
    <t>I need confirmation on this document. this is in Norwegian. More information is needed. (The document seems to be a planning document for a Kingdom Hall at Nyveg, 3840 Seljord. The plans in the document originate from the Norway branch. - AfW)</t>
  </si>
  <si>
    <t>Houseboat</t>
  </si>
  <si>
    <t>San Pedro</t>
  </si>
  <si>
    <t>Villa dei Rosario</t>
  </si>
  <si>
    <t>Puerto Rosario</t>
  </si>
  <si>
    <t>Paraguay - PY</t>
  </si>
  <si>
    <t>https://clasipar.paraguay.com/motor/@hermoso_yate_para_vivir</t>
  </si>
  <si>
    <t>Looks like the listing is no longer on the site</t>
  </si>
  <si>
    <t>Apartment</t>
  </si>
  <si>
    <t>1/43</t>
  </si>
  <si>
    <t>Kazimierza Przerwy-Tetmajera</t>
  </si>
  <si>
    <t>Czechowice-Dziedzice</t>
  </si>
  <si>
    <t>Bielski, Silesia</t>
  </si>
  <si>
    <t>43-502</t>
  </si>
  <si>
    <t>Poland - PL</t>
  </si>
  <si>
    <t>Polish zloty - PLN</t>
  </si>
  <si>
    <t>https://www.otodom.pl/oferta/szukasz-mieszkania-zobacz-45-50-m2-ID470bg.html</t>
  </si>
  <si>
    <t>1589/26</t>
  </si>
  <si>
    <t>cnr Stanisława Konarskiego / Oświęcimska</t>
  </si>
  <si>
    <t>Piekary Śląskie</t>
  </si>
  <si>
    <t>Brzozowice - Kamień</t>
  </si>
  <si>
    <t>41-949</t>
  </si>
  <si>
    <t>https://www.otodom.pl/oferta/dzialka-budowlana-duze-mozliwosci-1805-m2-ID440om.html</t>
  </si>
  <si>
    <t>Ogrodowa</t>
  </si>
  <si>
    <t>Unislaw</t>
  </si>
  <si>
    <t>Chelmno-Pomeranian</t>
  </si>
  <si>
    <t>86-260</t>
  </si>
  <si>
    <t>https://www.otodom.pl/oferta/lokal-uzytkowy-205-m2-do-zagospodarowania-unislaw-ID45OXK.html</t>
  </si>
  <si>
    <t>Łukowska</t>
  </si>
  <si>
    <t>Czersk</t>
  </si>
  <si>
    <t>Chojnicki</t>
  </si>
  <si>
    <t>89-650</t>
  </si>
  <si>
    <t>https://www.otodom.pl/oferta/czersk-130-m2-adaptacja-na-mieszkanie-ID43KHU.html</t>
  </si>
  <si>
    <t>Ad no longer available. Assume Sold</t>
  </si>
  <si>
    <t>Wiejska</t>
  </si>
  <si>
    <t>Toszek</t>
  </si>
  <si>
    <t>Gliwice Silesia</t>
  </si>
  <si>
    <t>44-180</t>
  </si>
  <si>
    <t>https://www.otodom.pl/oferta/dom-z-funkcja-mieszkalno-uslugowa-nowa-cena-ID3TGDu.html</t>
  </si>
  <si>
    <t>Podwale</t>
  </si>
  <si>
    <t>Góra</t>
  </si>
  <si>
    <t>Górowski, Dolnośląskie</t>
  </si>
  <si>
    <t>56-200</t>
  </si>
  <si>
    <t>https://www.otodom.pl/oferta/centrum-gory-lokal-uzytkowy-76-55-m2-ID46F7L.html</t>
  </si>
  <si>
    <t>2B</t>
  </si>
  <si>
    <t>Parowa</t>
  </si>
  <si>
    <t>Konin</t>
  </si>
  <si>
    <t>Greater Poland</t>
  </si>
  <si>
    <t>62-500</t>
  </si>
  <si>
    <t>https://www.otodom.pl/oferta/atrakcyjny-lokal-uzytkowy-z-mieszkaniem-330-m2-ID45YIE.html</t>
  </si>
  <si>
    <t>generała Józefa Bema</t>
  </si>
  <si>
    <t>Ostrów Wielkopolski</t>
  </si>
  <si>
    <t>63-410</t>
  </si>
  <si>
    <t>https://www.otodom.pl/oferta/funkcjonalny-dom-217-m2-ostrow-wielkopolski-ID44fEp.html</t>
  </si>
  <si>
    <t>592/5</t>
  </si>
  <si>
    <t>cnr Lazurowa / Biala</t>
  </si>
  <si>
    <t>Brzeszcze</t>
  </si>
  <si>
    <t>Jawiszowice, Oswiecim</t>
  </si>
  <si>
    <t>32-626</t>
  </si>
  <si>
    <t>https://www.otodom.pl/oferta/doskonala-dzialka-budowlana-1019-m2-ID4766W.html</t>
  </si>
  <si>
    <t>Coordinates: 49.966469, 19.147391</t>
  </si>
  <si>
    <t>3H</t>
  </si>
  <si>
    <t>Pośrednik</t>
  </si>
  <si>
    <t>Emilianów-Pośrednik</t>
  </si>
  <si>
    <t>Kalisz, Greater Poland</t>
  </si>
  <si>
    <t>62-840</t>
  </si>
  <si>
    <t>https://www.otodom.pl/oferta/doskonala-nieruchomosc-pod-dzialalnosc-gosp-105-m2-ID45Amz.html</t>
  </si>
  <si>
    <t>13A</t>
  </si>
  <si>
    <t>Wola Rychwalska</t>
  </si>
  <si>
    <t>Koniński, Wielkopolskie</t>
  </si>
  <si>
    <t>62-570</t>
  </si>
  <si>
    <t>https://www.otodom.pl/oferta/ladny-dom-z-duza-dzialka-175-m2-wola-rychwalska-ID44zXj.html</t>
  </si>
  <si>
    <t>House</t>
  </si>
  <si>
    <t>52A</t>
  </si>
  <si>
    <t>Pawia</t>
  </si>
  <si>
    <t>Lublin</t>
  </si>
  <si>
    <t>Kośminek</t>
  </si>
  <si>
    <t>20-343</t>
  </si>
  <si>
    <t>https://www.otodom.pl/oferta/dobra-cena-dom-na-kosminku-lublin-ID47a1D.html</t>
  </si>
  <si>
    <t>26/29</t>
  </si>
  <si>
    <t>DW969</t>
  </si>
  <si>
    <t>Mizerna</t>
  </si>
  <si>
    <t>Lesser Poland</t>
  </si>
  <si>
    <t>34-440</t>
  </si>
  <si>
    <t>https://www.otodom.pl/oferta/dzialka-blisko-jeziora-czortynskiego-ID45nOh.html</t>
  </si>
  <si>
    <t>Coordinates: 49.453793, 20.281718</t>
  </si>
  <si>
    <t>Kościuszki</t>
  </si>
  <si>
    <t>Wieluń</t>
  </si>
  <si>
    <t>Lodzkie</t>
  </si>
  <si>
    <t>98-300</t>
  </si>
  <si>
    <t>https://www.otodom.pl/oferta/wielun-dom-w-atrakcyjnej-lokalizacji-miasta-ID46EU1.html</t>
  </si>
  <si>
    <t>12B</t>
  </si>
  <si>
    <t>Lututowska</t>
  </si>
  <si>
    <t>Złoczew</t>
  </si>
  <si>
    <t>98-270</t>
  </si>
  <si>
    <t>https://www.otodom.pl/oferta/dom-z-funkcja-mieszkalno-uslugowa-nowa-cena-ID3QJEY.html</t>
  </si>
  <si>
    <t>Kostomłoty</t>
  </si>
  <si>
    <t>Lubelskie- Voivodeship</t>
  </si>
  <si>
    <t>21-509</t>
  </si>
  <si>
    <t>https://www.otodom.pl/oferta/dom-duza-dzialka-kostomloty-ID40iwa.html</t>
  </si>
  <si>
    <t>40A</t>
  </si>
  <si>
    <t>Nowosolska</t>
  </si>
  <si>
    <t>Rudno</t>
  </si>
  <si>
    <t>Lubuskie</t>
  </si>
  <si>
    <t>67-100</t>
  </si>
  <si>
    <t>https://www.otodom.pl/oferta/rozne-uslugi-lokal-uzytkowy-186-m2-rudno-ID43Jqq.html</t>
  </si>
  <si>
    <t>Krakowska</t>
  </si>
  <si>
    <t>Drezdenko</t>
  </si>
  <si>
    <t>Lubusz</t>
  </si>
  <si>
    <t>66-530</t>
  </si>
  <si>
    <t>https://www.otodom.pl/oferta/kamienica-248-m2-inwestuj-zarabiaj-drezdenko-ID3GaEk.html</t>
  </si>
  <si>
    <t>273/8</t>
  </si>
  <si>
    <t>Armii Krajowej</t>
  </si>
  <si>
    <t>Maków Mazowiecki</t>
  </si>
  <si>
    <t>06-200</t>
  </si>
  <si>
    <t>https://www.otodom.pl/oferta/atrakcyjna-dzialka-budowlana-niedaleko-centrum-ID46Hom.html</t>
  </si>
  <si>
    <t>Road 50</t>
  </si>
  <si>
    <t>Człekówka</t>
  </si>
  <si>
    <t>Masovia</t>
  </si>
  <si>
    <t>05-340</t>
  </si>
  <si>
    <t>https://www.otodom.pl/oferta/dzialka-mieszkaniowo-uslugowa-1100-m2-czlekowka-ID46HrB.html</t>
  </si>
  <si>
    <t>Coordinates: 52.046828, 21.430163</t>
  </si>
  <si>
    <t>Akacjowa</t>
  </si>
  <si>
    <t>Gostynin</t>
  </si>
  <si>
    <t>09-500</t>
  </si>
  <si>
    <t>https://www.otodom.pl/oferta/przestronny-dom-dla-rodziny-144-m2-gostynin-ID471tS.html</t>
  </si>
  <si>
    <t>Tadeusza Rejtana</t>
  </si>
  <si>
    <t>Piaseczno</t>
  </si>
  <si>
    <t>05-500</t>
  </si>
  <si>
    <t>https://www.otodom.pl/oferta/piaseczno-dom-z-wygodnym-parkingiem-ID3x0K7.html</t>
  </si>
  <si>
    <t>House next to Kingdom Hall (4 Tadeusza Rejtana)</t>
  </si>
  <si>
    <t>Turystyczna</t>
  </si>
  <si>
    <t>Nadarzyn</t>
  </si>
  <si>
    <t>Mazowieckie</t>
  </si>
  <si>
    <t>05-830</t>
  </si>
  <si>
    <t>https://www.otodom.pl/oferta/atrakcyjna-dzialka-inwestycyjna-w-nadarzynie-ID3rn40.html</t>
  </si>
  <si>
    <t xml:space="preserve">52.102401, 20.809936 Just land 24 km from Warsaw center. </t>
  </si>
  <si>
    <t>Powstańców</t>
  </si>
  <si>
    <t>Łaziska Górne</t>
  </si>
  <si>
    <t>Mikolow-Silesia</t>
  </si>
  <si>
    <t>43-170</t>
  </si>
  <si>
    <t>https://www.otodom.pl/oferta/funkcjonalny-dom-234-m2-z-duza-dzialka-ID440oQ.html</t>
  </si>
  <si>
    <t>DW502</t>
  </si>
  <si>
    <t>Rybina</t>
  </si>
  <si>
    <t>Nowodworski-Pomeranian</t>
  </si>
  <si>
    <t>82-103</t>
  </si>
  <si>
    <t>https://www.otodom.pl/oferta/rybina-blisko-morza-dzialka-niezabudowana-2314-m2-ID43HkK.html</t>
  </si>
  <si>
    <t>Geo Coordinates: 54.290381, 19.115494</t>
  </si>
  <si>
    <t>494/495</t>
  </si>
  <si>
    <t>Luczyna</t>
  </si>
  <si>
    <t>Łuczyna</t>
  </si>
  <si>
    <t>Olesnicki-Dolnoslaskie, Silesia</t>
  </si>
  <si>
    <t>56-410</t>
  </si>
  <si>
    <t>https://www.otodom.pl/oferta/piekna-dzialka-budowlana-0-5-ha-luczyna-ID47dKR.html</t>
  </si>
  <si>
    <t>Obrońców Westerplatte</t>
  </si>
  <si>
    <t>Oświęcim</t>
  </si>
  <si>
    <t>Oświęcimski, Małopolskie</t>
  </si>
  <si>
    <t>32-600</t>
  </si>
  <si>
    <t>https://www.otodom.pl/oferta/mieszkanie-37-5m2-w-bardzo-dobrej-lokalizacji-ID47bbW.html</t>
  </si>
  <si>
    <t>Original price: 195,000</t>
  </si>
  <si>
    <t>Podjazdowa</t>
  </si>
  <si>
    <t>Łódź</t>
  </si>
  <si>
    <t>Polesie</t>
  </si>
  <si>
    <t>90-001</t>
  </si>
  <si>
    <t>https://www.otodom.pl/oferta/duze-mozliwosci-dom-dzialkainwestycja-zobacz-ID470jJ.html</t>
  </si>
  <si>
    <t>Trzygłowska</t>
  </si>
  <si>
    <t>Gryfice</t>
  </si>
  <si>
    <t>Pomeranian</t>
  </si>
  <si>
    <t>72-300</t>
  </si>
  <si>
    <t>https://www.otodom.pl/oferta/lokal-uzytkowy-rozna-dzialalnosc-213-m2-gryfice-ID44f6t.html</t>
  </si>
  <si>
    <t>Ad no longer available. Assume sold.</t>
  </si>
  <si>
    <t>20a</t>
  </si>
  <si>
    <t>10 Lutego</t>
  </si>
  <si>
    <t>Puck</t>
  </si>
  <si>
    <t>84-100</t>
  </si>
  <si>
    <t>https://www.otodom.pl/oferta/doskonala-lokalizacja-dom-216-m2-puck-ID45qmB.html</t>
  </si>
  <si>
    <t>Warehouse</t>
  </si>
  <si>
    <t>Lisowice</t>
  </si>
  <si>
    <t>Prochowice, Legnicki</t>
  </si>
  <si>
    <t>59-230</t>
  </si>
  <si>
    <t>https://www.otodom.pl/oferta/dobra-cena-okazja-lokal-uzytkowy-lisowice-94-ID46wJA.html</t>
  </si>
  <si>
    <t>Ad no longer available. Assume sold</t>
  </si>
  <si>
    <t>Pruszkowski</t>
  </si>
  <si>
    <t>7A</t>
  </si>
  <si>
    <t>Wzgórze</t>
  </si>
  <si>
    <t>Sierakowo</t>
  </si>
  <si>
    <t>Rawicki</t>
  </si>
  <si>
    <t>63-900</t>
  </si>
  <si>
    <t>https://www.otodom.pl/oferta/nowa-cena-budynek-parterowy-123-m2-sierakowo-ID4432r.html</t>
  </si>
  <si>
    <t>Elektryków, cnr Katowicka</t>
  </si>
  <si>
    <t>Jaworzno</t>
  </si>
  <si>
    <t>Silensia</t>
  </si>
  <si>
    <t>43-602</t>
  </si>
  <si>
    <t>https://www.otodom.pl/oferta/atrakcyjna-dzialka-budowlana-804-m2-jaworzno-ID46T3y.html</t>
  </si>
  <si>
    <t>Wodzisławska</t>
  </si>
  <si>
    <t>Jastrzębie-Zdrój</t>
  </si>
  <si>
    <t>Silesia</t>
  </si>
  <si>
    <t>44-335</t>
  </si>
  <si>
    <t>https://www.otodom.pl/oferta/nowa-nizsza-cena-atrakcyjny-dom-z-potencjalem-ID41AL8.html</t>
  </si>
  <si>
    <t>Ad no longer available. Assuming sold.</t>
  </si>
  <si>
    <t>Świętego Maksymiliana Kolbe</t>
  </si>
  <si>
    <t>Legnica</t>
  </si>
  <si>
    <t>Tarninów</t>
  </si>
  <si>
    <t>59-220</t>
  </si>
  <si>
    <t>https://www.otodom.pl/oferta/kamienica-pod-inwestycje-ID44NvL.html</t>
  </si>
  <si>
    <t>34A</t>
  </si>
  <si>
    <t>Warcisława IV</t>
  </si>
  <si>
    <t>Szczecinek</t>
  </si>
  <si>
    <t>W. Pomeranian</t>
  </si>
  <si>
    <t>78-400</t>
  </si>
  <si>
    <t>https://www.otodom.pl/oferta/centrum-szczecinka-lokal-uzytkowy-246-m2-ID43Jmq.html</t>
  </si>
  <si>
    <t>21A</t>
  </si>
  <si>
    <t>Nowe Osiedle</t>
  </si>
  <si>
    <t>Kętrzyn</t>
  </si>
  <si>
    <t>Warminsko-Mazurskie</t>
  </si>
  <si>
    <t>11-401</t>
  </si>
  <si>
    <t>https://www.otodom.pl/oferta/lokal-149-m2-pod-dzialalnosc-uslugowa-okazja-ID3ZSra.html</t>
  </si>
  <si>
    <t>cnr Szafirowa / 8 Marca</t>
  </si>
  <si>
    <t>Trzebiatów</t>
  </si>
  <si>
    <t>West Pomeranian</t>
  </si>
  <si>
    <t>72-320</t>
  </si>
  <si>
    <t>https://www.otodom.pl/oferta/doskonala-lokalizacja-dzialka-budowlana-1159-m2-ID45Ani.html</t>
  </si>
  <si>
    <t>Coordinates: 54.051246, 15.281905</t>
  </si>
  <si>
    <t>Paderewskiego</t>
  </si>
  <si>
    <t>Zawiercie</t>
  </si>
  <si>
    <t>Zawiercie, Śląskie</t>
  </si>
  <si>
    <t>42-400</t>
  </si>
  <si>
    <t>https://www.otodom.pl/oferta/rezerwacja-szukasz-mieszkania-zobacz-oferte-33-m-ID45c3v.html</t>
  </si>
  <si>
    <t>14B</t>
  </si>
  <si>
    <t>Policzna</t>
  </si>
  <si>
    <t>Bierdziez</t>
  </si>
  <si>
    <t>Zwolen- Masovia</t>
  </si>
  <si>
    <t>26-720</t>
  </si>
  <si>
    <t>https://www.otodom.pl/oferta/doskonala-dzialka-wszystkie-media-1954-m2-ID475JK.html</t>
  </si>
  <si>
    <t>14A</t>
  </si>
  <si>
    <t>Bierdzież</t>
  </si>
  <si>
    <t>Zwolen-Masovia</t>
  </si>
  <si>
    <t>https://www.otodom.pl/oferta/szukasz-ciszy-i-spokoju-tutaj-je-znajdziesz-ID471sr.html</t>
  </si>
  <si>
    <t>1A</t>
  </si>
  <si>
    <t>Kołłątaja</t>
  </si>
  <si>
    <t>Gniezno</t>
  </si>
  <si>
    <t>62-200</t>
  </si>
  <si>
    <t>https://www.otodom.pl/oferta/dom-rozna-dzialalnosc-540-m2-gniezno-ID44J6I.html</t>
  </si>
  <si>
    <t>Malinowskiego</t>
  </si>
  <si>
    <t>Grodzisk Wielkopolski</t>
  </si>
  <si>
    <t>62-065</t>
  </si>
  <si>
    <t>https://www.otodom.pl/oferta/ciekawy-lokal-uzytkowy-137-m2-grodzisk-wlkp-ID44fru.html</t>
  </si>
  <si>
    <t>Barrio Santurce</t>
  </si>
  <si>
    <t>San Juan</t>
  </si>
  <si>
    <t>Condado Marimar</t>
  </si>
  <si>
    <t>Puerto Rico - PR</t>
  </si>
  <si>
    <t>https://www.clasificadosonline.com/m/DetailMobile.asp?ID=4470638&amp;Sec=1</t>
  </si>
  <si>
    <t>Ave. Catalina</t>
  </si>
  <si>
    <t>Arecibo</t>
  </si>
  <si>
    <t>PR</t>
  </si>
  <si>
    <t>00612</t>
  </si>
  <si>
    <t>https://www.clasificadosonline.com</t>
  </si>
  <si>
    <t>Congregacion Vista Azul</t>
  </si>
  <si>
    <t>Carr (?)</t>
  </si>
  <si>
    <t>Guaybotas</t>
  </si>
  <si>
    <t>Yabucoa</t>
  </si>
  <si>
    <t>https://youtu.be/Z486x0Bxycs</t>
  </si>
  <si>
    <t>Adjuntas</t>
  </si>
  <si>
    <t>Barrio-Yahuecas</t>
  </si>
  <si>
    <t>Vista Azul</t>
  </si>
  <si>
    <t>Antonio Cartagena Properties</t>
  </si>
  <si>
    <t>Carr. 666 KM 1.6</t>
  </si>
  <si>
    <t>Barceloneta, Quebrada</t>
  </si>
  <si>
    <t>00617</t>
  </si>
  <si>
    <t>https://totalcommercial.com/listings/58049?where%5Buser.id%5D=16932&amp;territory=41&amp;propertyType=all</t>
  </si>
  <si>
    <t>PR-829</t>
  </si>
  <si>
    <t>Bo. Pinas, Toa Alta</t>
  </si>
  <si>
    <t>00953</t>
  </si>
  <si>
    <t>https://totalcommercial.com/listings/58680?where%5Buser.id%5D=16932&amp;territory=41&amp;propertyType=all</t>
  </si>
  <si>
    <t>GPS: 18.36137, -66.20675</t>
  </si>
  <si>
    <t>Caguas</t>
  </si>
  <si>
    <t>Tomas De Castro</t>
  </si>
  <si>
    <t>Caimital Bajo, Aguadilla</t>
  </si>
  <si>
    <t>NIC 25-Oct-2019</t>
  </si>
  <si>
    <t>Caimito Alto, San Juan</t>
  </si>
  <si>
    <t>Calabazas, San Sebastian</t>
  </si>
  <si>
    <t>00685</t>
  </si>
  <si>
    <t>Campo Alegre, Hatillo</t>
  </si>
  <si>
    <t>From Kimmy's list</t>
  </si>
  <si>
    <t>Candelaria, Toa Baja</t>
  </si>
  <si>
    <t>PR-857</t>
  </si>
  <si>
    <t>Camino Los Marquez</t>
  </si>
  <si>
    <t>Canovanillas, Carolina</t>
  </si>
  <si>
    <t>00631</t>
  </si>
  <si>
    <t>https://totalcommercial.com/listings/58678?where%5Buser.id%5D=16932&amp;territory=41&amp;propertyType=all</t>
  </si>
  <si>
    <t>Catano Pueblo, Catano</t>
  </si>
  <si>
    <t>On Kimmy's list. Used NIC date as estimated listing date</t>
  </si>
  <si>
    <t>Barrio- Pinas</t>
  </si>
  <si>
    <t>Comerio</t>
  </si>
  <si>
    <t>Anasco</t>
  </si>
  <si>
    <t>Corcovada</t>
  </si>
  <si>
    <t>Calle H</t>
  </si>
  <si>
    <t>Costa de Oro, Dorado</t>
  </si>
  <si>
    <t>00646</t>
  </si>
  <si>
    <t>https://totalcommercial.com/listings/56471?where%5Buser.id%5D=16932&amp;territory=41&amp;propertyType=all</t>
  </si>
  <si>
    <t>https://www.clasificadosonline.com/m/PartnerListingM.asp?ID=32172&amp;CID=1&amp;fbclid=IwAR27qNW_vh-raLkl4kKFNNlwJ6a_fjncdD1fg0--C0b00vVWe_RQ_kM-SPM</t>
  </si>
  <si>
    <t>Cuchillas, Moca</t>
  </si>
  <si>
    <t>On Kimmy's List. NIC 25-Oct-2019</t>
  </si>
  <si>
    <t>El Mango, Juncos</t>
  </si>
  <si>
    <t>00777</t>
  </si>
  <si>
    <t>El Mani, Mayaguez</t>
  </si>
  <si>
    <t>El, Tuque, Ponce</t>
  </si>
  <si>
    <t>NIC: 25-Oct-2019</t>
  </si>
  <si>
    <t>Galateo, Toa Alta</t>
  </si>
  <si>
    <t>Golden Valley, Carolina</t>
  </si>
  <si>
    <t>Guamani, Guayama</t>
  </si>
  <si>
    <t>00784</t>
  </si>
  <si>
    <t>Guaraguao, Bayamon</t>
  </si>
  <si>
    <t>Hato Nuevo, Gurabo</t>
  </si>
  <si>
    <t>Hermanas Davila, Bayamon</t>
  </si>
  <si>
    <t>00961</t>
  </si>
  <si>
    <t>Calle 4</t>
  </si>
  <si>
    <t>La Mesa Caguas</t>
  </si>
  <si>
    <t>Las Delicias, Ponce</t>
  </si>
  <si>
    <t>00728</t>
  </si>
  <si>
    <t>Las Ochenta, Salinas</t>
  </si>
  <si>
    <t>Maricao</t>
  </si>
  <si>
    <t>Maton, Cayey</t>
  </si>
  <si>
    <t>00736</t>
  </si>
  <si>
    <t>On Kimmy's List</t>
  </si>
  <si>
    <t>Mora, Isabela</t>
  </si>
  <si>
    <t>00662</t>
  </si>
  <si>
    <t>On Kimmy's list. NIC 25-Oct-2019</t>
  </si>
  <si>
    <t>Barrio Tierras</t>
  </si>
  <si>
    <t>Nuevas Salientes Manati</t>
  </si>
  <si>
    <t>https://www.clasificadosonline.com/m/DetailMobile.asp?ID=4355449&amp;Sec=1</t>
  </si>
  <si>
    <t>Parcelas Vieques, Loiza</t>
  </si>
  <si>
    <t>00745</t>
  </si>
  <si>
    <t>Pueblo Nuevo, Maricao</t>
  </si>
  <si>
    <t>00606</t>
  </si>
  <si>
    <t>On Kimmy's list. Used NIC date as estimated listing date.</t>
  </si>
  <si>
    <t>Puerto Nuevo, San Juan</t>
  </si>
  <si>
    <t>Calle Del Fuego</t>
  </si>
  <si>
    <t>Punta Santiago, Humacao</t>
  </si>
  <si>
    <t>Quebrada, Camuy</t>
  </si>
  <si>
    <t>Quebrada, San Lorenzo</t>
  </si>
  <si>
    <t>San Jose, Quebradillas</t>
  </si>
  <si>
    <t>00678</t>
  </si>
  <si>
    <t>On Kimmy's list. Amount and listing date unknown.</t>
  </si>
  <si>
    <t>Santurce, San Juan</t>
  </si>
  <si>
    <t>Calle 681</t>
  </si>
  <si>
    <t>Sestor Boan, Arecibo</t>
  </si>
  <si>
    <t>https://totalcommercial.com/listings/56470?where%5Buser.id%5D=16932&amp;territory=41&amp;propertyType=all</t>
  </si>
  <si>
    <t>Google GPS: 18.487895, -66.656930</t>
  </si>
  <si>
    <t>Carr 685</t>
  </si>
  <si>
    <t>Tierras Nuevas, Manati</t>
  </si>
  <si>
    <t>00674</t>
  </si>
  <si>
    <t>https://totalcommercial.com/listings/57928?where%5Buser.id%5D=16932&amp;territory=41&amp;propertyType=all</t>
  </si>
  <si>
    <t>Google GPS: 18.43677, -66.49994</t>
  </si>
  <si>
    <t>Unibon, Morovis</t>
  </si>
  <si>
    <t>https://www.youtube.com/channel/UCsqw_nSeqpRESZOLEbvt2zw/videos</t>
  </si>
  <si>
    <t>I have the screen shot for the property listing in my files</t>
  </si>
  <si>
    <t>Vista Del Convento, Fajardo</t>
  </si>
  <si>
    <t>Zanja, Camuy</t>
  </si>
  <si>
    <t>00627</t>
  </si>
  <si>
    <t>Amelia Catano</t>
  </si>
  <si>
    <t>Landsdowne Rd</t>
  </si>
  <si>
    <t>Buckingham, Cape Town</t>
  </si>
  <si>
    <t>South Africa - ZA</t>
  </si>
  <si>
    <t>South African rand - ZAR</t>
  </si>
  <si>
    <t>https://www.property24.com/property-values/634-lansdowne-road/buckingham/cape-town/western-cape/qr7hi3foiexynjvkzoys6d247mitf5dxa7wl6552ulmksd655zebo6xvnm3xdluecmkjlywvr5djo</t>
  </si>
  <si>
    <t>Dante Alighieri</t>
  </si>
  <si>
    <t>Barcelona</t>
  </si>
  <si>
    <t>CAT</t>
  </si>
  <si>
    <t>08032</t>
  </si>
  <si>
    <t>Spain - ES</t>
  </si>
  <si>
    <t>https://g.co/kgs/NsPRhw</t>
  </si>
  <si>
    <t>Now is a Churches of Christ center</t>
  </si>
  <si>
    <t>Catalonia</t>
  </si>
  <si>
    <t>https://www.todocoleccion.net/postales-cataluna/barcelona-salon-reino-testigos-jehova-sin-circular~x61024339</t>
  </si>
  <si>
    <t>Umea</t>
  </si>
  <si>
    <t>Upper Norrland</t>
  </si>
  <si>
    <t>Sweden - SE</t>
  </si>
  <si>
    <t>Swedish krona - SEK</t>
  </si>
  <si>
    <t>https://www.svt.se/nyheter/lokalt/vasterbotten/jehovas-vittnen-vill-salja-hus-till-kommunen</t>
  </si>
  <si>
    <t>Arboga</t>
  </si>
  <si>
    <t>Sweden Bethel Branch</t>
  </si>
  <si>
    <t>Siriusvagen</t>
  </si>
  <si>
    <t>Tyreso</t>
  </si>
  <si>
    <t>http://www.lindalen.nu/uncategorized/tybo-koper-rikets-sal/?fbclid=IwAR0xiDvTVQiR3W6AZI-XUJVSXeCOvPxOTKBt4sifPnvTDMv1EpErIEKO7Mo</t>
  </si>
  <si>
    <t>Buyer: Tyresö Bostäder</t>
  </si>
  <si>
    <t>Ulmenweg</t>
  </si>
  <si>
    <t>Canton of Bern</t>
  </si>
  <si>
    <t>Thun</t>
  </si>
  <si>
    <t>Switzerland - CH</t>
  </si>
  <si>
    <t>Swiss franc - CHF</t>
  </si>
  <si>
    <t>https://www.bering.ch/referenzen/wohnen/wohnuberbauung-ulmenweg-45-thun</t>
  </si>
  <si>
    <t>Sold to a property developer</t>
  </si>
  <si>
    <t>Ballybrakes Road</t>
  </si>
  <si>
    <t>Ballymoney</t>
  </si>
  <si>
    <t xml:space="preserve"> Northern Ireland</t>
  </si>
  <si>
    <t>BT53</t>
  </si>
  <si>
    <t>United Kingdom - GB</t>
  </si>
  <si>
    <t>UK Pound sterling - GBP</t>
  </si>
  <si>
    <t>https://www.philiptweedie.com/property-detail/</t>
  </si>
  <si>
    <t>Northern Ireland not available in country list</t>
  </si>
  <si>
    <t>Glengarnock</t>
  </si>
  <si>
    <t>Ayrshire</t>
  </si>
  <si>
    <t>Grove road</t>
  </si>
  <si>
    <t>Windsor</t>
  </si>
  <si>
    <t>Berkshire (?)</t>
  </si>
  <si>
    <t>SL4 1JQ</t>
  </si>
  <si>
    <t>https://nethouseprices.com/house-prices/street-details-sale/80e1aa98f5227bf8e0536c04a8c00bf2/kingdom%20hall%20of%20jehovahs%20witnesses%20grove%20road,%20windsor,%20sl4%201jq/2019</t>
  </si>
  <si>
    <t>144a</t>
  </si>
  <si>
    <t>Coombs Road</t>
  </si>
  <si>
    <t>Halesowen</t>
  </si>
  <si>
    <t>Birmingham</t>
  </si>
  <si>
    <t>B62 8HD</t>
  </si>
  <si>
    <t>https://www.onthemarket.com/details/4656073/</t>
  </si>
  <si>
    <t>Bakers Lane</t>
  </si>
  <si>
    <t>West Hanningfield</t>
  </si>
  <si>
    <t>Chelmsford</t>
  </si>
  <si>
    <t>CM2 8LE</t>
  </si>
  <si>
    <t>https://ibsaproperty.com/houses/bakers-lane/</t>
  </si>
  <si>
    <t>IBSA website</t>
  </si>
  <si>
    <t>Pioneer Place</t>
  </si>
  <si>
    <t>Featherbed lane</t>
  </si>
  <si>
    <t>Addington</t>
  </si>
  <si>
    <t>Croydon</t>
  </si>
  <si>
    <t>CR0 9AW</t>
  </si>
  <si>
    <t>https://www.acorngroup.co.uk/commercial/property-sales/leisure-institution-corporate-asset-services-for-sale-in-pioneer-place-featherbed-lane-croydon/42866</t>
  </si>
  <si>
    <t>This is the property where a huge legal battle and the Kingdom Hall Trust tried to do a hostile takeover; https://acorn.agencypilot.com/store/documents/other/253504_49hn3294r6063mrc.pdf?agtype=7&amp;agkey=444+26748</t>
  </si>
  <si>
    <t>Saddleworth road</t>
  </si>
  <si>
    <t xml:space="preserve">West Vale </t>
  </si>
  <si>
    <t>Halifax</t>
  </si>
  <si>
    <t>HX4 8AG</t>
  </si>
  <si>
    <t>https://www.onthemarket.com/details/5535442/</t>
  </si>
  <si>
    <t xml:space="preserve">Paddington Road </t>
  </si>
  <si>
    <t>Portsmouth</t>
  </si>
  <si>
    <t xml:space="preserve">Hampshire </t>
  </si>
  <si>
    <t xml:space="preserve">PO2 0DU </t>
  </si>
  <si>
    <t>https://www.zoopla.co.uk/property/51-paddington-road/portsmouth/po2-0du/18637160</t>
  </si>
  <si>
    <t xml:space="preserve">Formally Portsmouth and Cosham Congs.  Sold due to ‘subsidence’ and needing repairs. </t>
  </si>
  <si>
    <t>Brading Rd</t>
  </si>
  <si>
    <t>Ryde</t>
  </si>
  <si>
    <t>Isle of Wight</t>
  </si>
  <si>
    <t>PO33 1QG</t>
  </si>
  <si>
    <t>http://po33-1qg.postcodeuk.online/11636095/brading-road-kingdom-hall/</t>
  </si>
  <si>
    <t>Behind McDonalds. Now a Vet</t>
  </si>
  <si>
    <t>Cedar Terrace road</t>
  </si>
  <si>
    <t>Seven Oaks</t>
  </si>
  <si>
    <t>Kent</t>
  </si>
  <si>
    <t>TN13 3UD</t>
  </si>
  <si>
    <t>https://www.acorngroup.co.uk/commercial/property-sales/leisure-institution-for-sale-in-kingdom-hall-cedar-terrace-road-sevenoaks-kent/42830</t>
  </si>
  <si>
    <t>Gladstone Road</t>
  </si>
  <si>
    <t>Wimbledon</t>
  </si>
  <si>
    <t>London</t>
  </si>
  <si>
    <t>SW19</t>
  </si>
  <si>
    <t>https://www.rightmove.co.uk/commercial-property-for-sale/property-90393209.html</t>
  </si>
  <si>
    <t>It was going to be by auction, but it looks like it may have sold already. https://www.zoopla.co.uk/for-sale/details/54556122; Unknown sale amount. Used listing amount as an estimate.</t>
  </si>
  <si>
    <t>MAYPOLE LANE</t>
  </si>
  <si>
    <t xml:space="preserve">BIRMINGHAM </t>
  </si>
  <si>
    <t xml:space="preserve">MIDLANDS </t>
  </si>
  <si>
    <t>Warstock Kingdom Hall has been on sale a while now but also in Birmingham UK either Rubery or Rednal is also up for sale.</t>
  </si>
  <si>
    <t>Woodburn Road</t>
  </si>
  <si>
    <t>Carrickfergus</t>
  </si>
  <si>
    <t>Northern Ireland</t>
  </si>
  <si>
    <t>BT38 9AB</t>
  </si>
  <si>
    <t>https://www.google.com/maps/place/156+woodburn+road,+carrickfergus+Carrickfergus/@54.7319601,-5.8494076,3a,75y,208.17h,90t/data=!3m4!1e1!3m2!1sRMSmwb0fzpT0PypKeWndvA!2e0!4m2!3m1!1s0x4861a1629b7d1bd3:0x3f946b6a8ee6861d?sa=X&amp;ved=2ahUKEwj8kIXCj9zoAhVQRhUIHQOCC0YQxB0wAHoECAsQAg</t>
  </si>
  <si>
    <t>No current listing however google earth was taken 2011 as above, but now for proof, another private company has taken over the address.
https://gasandcontrols.com/contact/</t>
  </si>
  <si>
    <t>Windmill road</t>
  </si>
  <si>
    <t>Thame</t>
  </si>
  <si>
    <t>Oxfordshire</t>
  </si>
  <si>
    <t>OX9 2DR</t>
  </si>
  <si>
    <t>https://www.zoopla.co.uk/property/25-windmill-road/thame/ox9-2dr/32875445</t>
  </si>
  <si>
    <t>The paddock</t>
  </si>
  <si>
    <t>Tenby</t>
  </si>
  <si>
    <t>South Wales UK</t>
  </si>
  <si>
    <t>SA70 8DJ</t>
  </si>
  <si>
    <t>Ex kingdom hall Tenby. It is currently a bicycle shop.</t>
  </si>
  <si>
    <t>Garden Street</t>
  </si>
  <si>
    <t>Newcastle under Lyme</t>
  </si>
  <si>
    <t>Staffordshire</t>
  </si>
  <si>
    <t>ST5 1BW</t>
  </si>
  <si>
    <t>https://www.commercialpropertyplace.co.uk/properties/506453/</t>
  </si>
  <si>
    <t>1 of two kingdom halls in the town of Newcastle under Lyme. Congregations merged.</t>
  </si>
  <si>
    <t>Bridge street</t>
  </si>
  <si>
    <t>Wordsley</t>
  </si>
  <si>
    <t>Stourbridge (West Midlands)</t>
  </si>
  <si>
    <t>DY8 5YX</t>
  </si>
  <si>
    <t>https://themovemarket.com/tools/propertyprices/kingdom-hall-of-jehovahs-witnesses-bridge-street-stourbridge-dudley-west-midlands-dy8-5yx</t>
  </si>
  <si>
    <t>Back High Street</t>
  </si>
  <si>
    <t>Gosforth, Newcastle</t>
  </si>
  <si>
    <t>Tyne &amp; Wear</t>
  </si>
  <si>
    <t>NE3 4ET</t>
  </si>
  <si>
    <t>https://beta.charitycommission.gov.uk/charity-details/?regid=1066136&amp;subid=0</t>
  </si>
  <si>
    <t>Newcastle (Gosforth) Congregation.  I think the property was bought by a solicitor firm. This link is open to the general public and contains evidence of the property being sold and the money being sent to WT the following financial year.  If you click on the 'Documents' tab of the link you can open a pdf detailing the transaction.</t>
  </si>
  <si>
    <t>Sand Bank (?)</t>
  </si>
  <si>
    <t>West Midlands</t>
  </si>
  <si>
    <t>Wallsall</t>
  </si>
  <si>
    <t>WS3 2HL</t>
  </si>
  <si>
    <t>https://images1.loopnet.com/d2/HPnmwpLblxDyP2qRJZ27F416tM3MLiWyf2l9_icdXIU/document.pdf</t>
  </si>
  <si>
    <t>https://www.onthemarket.com/details/4601620/</t>
  </si>
  <si>
    <t>Roman Road</t>
  </si>
  <si>
    <t>Neath</t>
  </si>
  <si>
    <t>West Glamorgan</t>
  </si>
  <si>
    <t>SA10 9LH</t>
  </si>
  <si>
    <t>https://www.astleys.net/commercial/properties/kingdom-hall-roman-road-neath-west-glamorgan/</t>
  </si>
  <si>
    <t>Listing price is asking for offers over 76500 pounds</t>
  </si>
  <si>
    <t xml:space="preserve"> </t>
  </si>
  <si>
    <t>Longbridge lane</t>
  </si>
  <si>
    <t xml:space="preserve">Birmingham </t>
  </si>
  <si>
    <t>B31 4RD</t>
  </si>
  <si>
    <t>https://www.andrew-grant.co.uk/properties/12464620/sales</t>
  </si>
  <si>
    <t>66a</t>
  </si>
  <si>
    <t>Westbury Leigh</t>
  </si>
  <si>
    <t>Westbury</t>
  </si>
  <si>
    <t>Wiltshire</t>
  </si>
  <si>
    <t>BA13 3SQ</t>
  </si>
  <si>
    <t>https://media.onthemarket.com/properties/5635916/685401394/document-0.pdf</t>
  </si>
  <si>
    <t>Bagillt, Flintshire</t>
  </si>
  <si>
    <t>Northwales</t>
  </si>
  <si>
    <t>Ballybrakes Rd</t>
  </si>
  <si>
    <t>https://www.philiptweedie.com/property-detail/?prop=9633</t>
  </si>
  <si>
    <t>Triangle North</t>
  </si>
  <si>
    <t>Bath</t>
  </si>
  <si>
    <t>Oldfield Park</t>
  </si>
  <si>
    <t>Longbridge Lane</t>
  </si>
  <si>
    <t>Bootle, Merseyside</t>
  </si>
  <si>
    <t>Buyer: LDS Church</t>
  </si>
  <si>
    <t>1-2</t>
  </si>
  <si>
    <t>Manor Point, Manor Way</t>
  </si>
  <si>
    <t>Borehamwood, Hertfordshire</t>
  </si>
  <si>
    <t>WD6 1EU</t>
  </si>
  <si>
    <t>https://www.rightmove.co.uk/commercial-property-for-sale/property-88308047.html</t>
  </si>
  <si>
    <t>IBSA Properties</t>
  </si>
  <si>
    <t>South Rd</t>
  </si>
  <si>
    <t>Bournemouth</t>
  </si>
  <si>
    <t>Idle Rd</t>
  </si>
  <si>
    <t>Bradford, Undercliff</t>
  </si>
  <si>
    <t>BD2 4NH</t>
  </si>
  <si>
    <t>https://propertylink.estatesgazette.com/property-details/6550543-kingdom-hall-68-idle-road-bradford-bd2-4nh</t>
  </si>
  <si>
    <t>Kings Rd</t>
  </si>
  <si>
    <t>Brentwood</t>
  </si>
  <si>
    <t>Grace Bartlett Gardens</t>
  </si>
  <si>
    <t>CM2 9FW</t>
  </si>
  <si>
    <t>https://ibsaproperty.com/properties/st-johns/37-grace-bartlett-gardens/</t>
  </si>
  <si>
    <t>https://ibsaproperty.com/properties/st-johns/39-grace-bartlett-gardens/</t>
  </si>
  <si>
    <t>https://ibsaproperty.com/properties/st-johns/41-grace-bartlett-gardens/</t>
  </si>
  <si>
    <t>https://ibsaproperty.com/properties/st-johns/43-grace-bartlett-gardens/</t>
  </si>
  <si>
    <t>https://ibsaproperty.com/properties/st-johns/45-grace-bartlett-gardens/</t>
  </si>
  <si>
    <t>https://ibsaproperty.com/properties/st-johns/47-grace-bartlett-gardens/</t>
  </si>
  <si>
    <t>https://ibsaproperty.com/properties/st-johns/49-grace-bartlett-gardens/</t>
  </si>
  <si>
    <t>https://ibsaproperty.com/properties/st-johns/51-grace-bartlett-gardens/</t>
  </si>
  <si>
    <t>https://ibsaproperty.com/properties/st-johns/53-grace-bartlett-gardens/</t>
  </si>
  <si>
    <t>https://ibsaproperty.com/properties/st-johns/55-grace-bartlett-gardens/</t>
  </si>
  <si>
    <t>https://ibsaproperty.com/properties/st-johns/57-grace-bartlett-gardens/</t>
  </si>
  <si>
    <t>https://ibsaproperty.com/properties/st-johns/59-grace-bartlett-gardens/</t>
  </si>
  <si>
    <t>https://ibsaproperty.com/properties/st-johns/61-grace-bartlett-gardens/</t>
  </si>
  <si>
    <t>https://ibsaproperty.com/properties/st-johns/63-grace-bartlett-gardens/</t>
  </si>
  <si>
    <t>Mary Munnion Quarter</t>
  </si>
  <si>
    <t>CM2 9FT</t>
  </si>
  <si>
    <t>https://ibsaproperty.com/properties/st-johns/49-mary-munnion-quarter/</t>
  </si>
  <si>
    <t>https://ibsaproperty.com/properties/st-johns/51-mary-munnion-quarter/</t>
  </si>
  <si>
    <t>https://ibsaproperty.com/properties/st-johns/53-mary-munnion-quarter/</t>
  </si>
  <si>
    <t>https://ibsaproperty.com/properties/st-johns/55-mary-munnion-quarter/</t>
  </si>
  <si>
    <t>Templeton Park</t>
  </si>
  <si>
    <t>CM2 8LF</t>
  </si>
  <si>
    <t>https://ibsaproperty.com/properties/park-homes/park-home-7/</t>
  </si>
  <si>
    <t>IBSA Properties - Park Homes</t>
  </si>
  <si>
    <t>https://ibsaproperty.com/properties/park-homes/park-home-12/</t>
  </si>
  <si>
    <t>https://ibsaproperty.com/properties/park-homes/park-home-14/</t>
  </si>
  <si>
    <t>https://ibsaproperty.com/properties/park-homes/park-home-21/</t>
  </si>
  <si>
    <t>Tuscan Way</t>
  </si>
  <si>
    <t>Connah's Quay</t>
  </si>
  <si>
    <t>https://www.streetlist.co.uk/ch/ch5/ch5-4/tuscan-way</t>
  </si>
  <si>
    <t>Google Map GPS: 53.219385, -3.059177    Cnr. Bethel Place</t>
  </si>
  <si>
    <t>Crook</t>
  </si>
  <si>
    <t>High St</t>
  </si>
  <si>
    <t>Dawlish, South Devon</t>
  </si>
  <si>
    <t>https://www.onthemarket.com/details/3593019/</t>
  </si>
  <si>
    <t>Sold by pvt treaty. Used stated price on Kimmy's list as latest known estimate.</t>
  </si>
  <si>
    <t>Nigel Rd</t>
  </si>
  <si>
    <t>Dedridge Livingston, West Lothian</t>
  </si>
  <si>
    <t>Buyer: Christian Church of God</t>
  </si>
  <si>
    <t>Stourbridge Rd</t>
  </si>
  <si>
    <t>Dudley, West Midlands</t>
  </si>
  <si>
    <t>DY1 2DH</t>
  </si>
  <si>
    <t>https://themovemarket.com/tools/propertyprices/77-stourbridge-road-dudley-west-midlands-dy1-2dh</t>
  </si>
  <si>
    <t>Laburnum Grove</t>
  </si>
  <si>
    <t>Halton, Runcorn</t>
  </si>
  <si>
    <t>WA7 5EU</t>
  </si>
  <si>
    <t>https://www.google.com.au/maps/search/Kingdom+hall+47+Laburnum+Grove,+Halton,+Runcorn+WA7+5EU,+UK/@53.3282783,-2.7220342,146m/data=!3m1!1e3?hl=en-GB</t>
  </si>
  <si>
    <t>Google Maps reports KH as closed</t>
  </si>
  <si>
    <t>Taylor St</t>
  </si>
  <si>
    <t>Heywood</t>
  </si>
  <si>
    <t>OL10 1EF</t>
  </si>
  <si>
    <t>https://www.ryder-dutton.co.uk/properties/12485180/sales/COM170029</t>
  </si>
  <si>
    <t>29a</t>
  </si>
  <si>
    <t>Alexandra Rd</t>
  </si>
  <si>
    <t>Kingston Upon Thames, Surrey</t>
  </si>
  <si>
    <t>KT2 6SD</t>
  </si>
  <si>
    <t>https://www.novaloca.com/office-space/for-sale/kingston-upon-thames/the-kingdom-hall-29a-alexandra-road/155484</t>
  </si>
  <si>
    <t>On Kimmy's list. Used 1,150,000 GBP as an estimate of stated USD amount of $1,438,050. Sale date used is Withdrawn date. Now a block of flats.</t>
  </si>
  <si>
    <t>Knowles road</t>
  </si>
  <si>
    <t>Llandudno</t>
  </si>
  <si>
    <t>LL30 2LG</t>
  </si>
  <si>
    <t>https://www.richardbaddeley.co.uk/wp-content/uploads/2014/01/FOR-SALE-KINGDOM-HALL.pdf</t>
  </si>
  <si>
    <t>Apt #1, Buttermere Apartments, Holders Hill Road</t>
  </si>
  <si>
    <t>https://ibsaproperty.com/properties/individual-apartments/buttermere-court/apartment-1/</t>
  </si>
  <si>
    <t>IBSA properties</t>
  </si>
  <si>
    <t>Apt #1, Ullswater Apartments, Holders Hill Rd</t>
  </si>
  <si>
    <t>https://ibsaproperty.com/properties/individual-apartments/ullswater-court/apartment-1/</t>
  </si>
  <si>
    <t>Apt #2, Buttermere Appartments, Holders Hill Rd</t>
  </si>
  <si>
    <t>https://ibsaproperty.com/properties/individual-apartments/buttermere-court/apartment-2/</t>
  </si>
  <si>
    <t>Apt #2, Ullswater Apartments, Holders Hill Rd</t>
  </si>
  <si>
    <t>https://ibsaproperty.com/properties/individual-apartments/ullswater-court/apartment-2/</t>
  </si>
  <si>
    <t>Apt #3, Buttermere Appartments, Holders Hill Rd</t>
  </si>
  <si>
    <t>https://ibsaproperty.com/properties/individual-apartments/buttermere-court/apartment-3/</t>
  </si>
  <si>
    <t>Apt #3, Ullswater Apartments, Holders Hill Rd</t>
  </si>
  <si>
    <t>https://ibsaproperty.com/properties/individual-apartments/ullswater-court/apartment-3/</t>
  </si>
  <si>
    <t>Apt #4, Buttermere Appartments, Holders Hill Rd</t>
  </si>
  <si>
    <t>https://ibsaproperty.com/properties/individual-apartments/buttermere-court/apartment-4/</t>
  </si>
  <si>
    <t>Apt #4, Ullswater Apartments, Holders Hill Rd</t>
  </si>
  <si>
    <t>https://ibsaproperty.com/properties/individual-apartments/ullswater-court/apartment-4/</t>
  </si>
  <si>
    <t>Apt #5, Buttermere Appartments, Holders Hill Rd</t>
  </si>
  <si>
    <t>https://ibsaproperty.com/properties/individual-apartments/buttermere-court/apartment-5/</t>
  </si>
  <si>
    <t>Apt #5, Ullswater Apartments, Holders Hill Rd</t>
  </si>
  <si>
    <t>https://ibsaproperty.com/properties/individual-apartments/ullswater-court/apartment-5/</t>
  </si>
  <si>
    <t>Apt #6, Buttermere Appartments, Holders Hill Rd</t>
  </si>
  <si>
    <t>https://ibsaproperty.com/properties/individual-apartments/buttermere-court/apartment-6/</t>
  </si>
  <si>
    <t>Apt #6, Ullswater Apartments, Holders Hill Rd</t>
  </si>
  <si>
    <t>https://ibsaproperty.com/properties/individual-apartments/ullswater-court/apartment-6/</t>
  </si>
  <si>
    <t>Apt #7, Ullswater Apartments, Holders Hill Rd</t>
  </si>
  <si>
    <t>https://ibsaproperty.com/properties/individual-apartments/ullswater-court/apartment-7/</t>
  </si>
  <si>
    <t>Apt #8, Ullswater Apartments, Holders Hill Rd</t>
  </si>
  <si>
    <t>https://ibsaproperty.com/properties/individual-apartments/ullswater-court/apartment-8/</t>
  </si>
  <si>
    <t>Apt #9, Ullswater Apartments, Holders Hill Rd</t>
  </si>
  <si>
    <t>https://ibsaproperty.com/properties/individual-apartments/ullswater-court/apartment-9/</t>
  </si>
  <si>
    <t>Chenies, The Ridgeway</t>
  </si>
  <si>
    <t>NW7 1RP</t>
  </si>
  <si>
    <t>https://ibsaproperty.com/houses/chenies/</t>
  </si>
  <si>
    <t>Conference Centre &amp; Open Field, The Ridgeway</t>
  </si>
  <si>
    <t>NW7</t>
  </si>
  <si>
    <t>https://ibsaproperty.com/properties/conf-centre-and-open-field/</t>
  </si>
  <si>
    <t>Coniston Court, 5 Langstone Way</t>
  </si>
  <si>
    <t>NW7 1GP</t>
  </si>
  <si>
    <t>https://www.houser.co.uk/flat-21,-coniston-court,-5-langstone-way,-london-nw7-1gp-p4430808</t>
  </si>
  <si>
    <t>IBSA Properties; 25x 2-bedroom flats; Sale price: Not provided; Sale price estimated at average 500,000 GBP per unit.</t>
  </si>
  <si>
    <t>Elbury, The Ridgeway</t>
  </si>
  <si>
    <t>https://ibsaproperty.com/houses/elbury/</t>
  </si>
  <si>
    <t>IBSA Properties; POA</t>
  </si>
  <si>
    <t>Elstree Way</t>
  </si>
  <si>
    <t>https://www.zoopla.co.uk/property/1-elstree-way/borehamwood/wd6-1rn/30392271</t>
  </si>
  <si>
    <t>From Lara's List; IBSA properties</t>
  </si>
  <si>
    <t>Hadleigh, The Ridgeway</t>
  </si>
  <si>
    <t>https://www.zoopla.co.uk/property/hadleigh/the-ridgeway/london/nw7-1rp/17263507</t>
  </si>
  <si>
    <t>IBSA Properties; Listed for: 1,250,000 GBP</t>
  </si>
  <si>
    <t>Harrogate Court</t>
  </si>
  <si>
    <t>N11 3GE</t>
  </si>
  <si>
    <t>https://ibsaproperty.com/properties/apartments/harrogate-court/</t>
  </si>
  <si>
    <t>IBSA Properties; 16 flats; Sale Price: not disclosed; Estimated price at 500,000 GBP per unit</t>
  </si>
  <si>
    <t>IBSA House, The Ridgeway</t>
  </si>
  <si>
    <t>NW7 1RN</t>
  </si>
  <si>
    <t>https://ibsaproperty.com/properties/ibsa-house/</t>
  </si>
  <si>
    <t>Landfall, The Ridgeway</t>
  </si>
  <si>
    <t>https://ibsaproperty.com/houses/landfall/</t>
  </si>
  <si>
    <t>Lexington Court Apartments</t>
  </si>
  <si>
    <t>HA8</t>
  </si>
  <si>
    <t>https://ibsaproperty.com/properties/apartments/lexington-court/</t>
  </si>
  <si>
    <t>IBSA Properties; 11x apartments; Under Offer on 21-Mar-2020; Sale price not disclosed; Sale price estimated at 500,000 GBP per unit</t>
  </si>
  <si>
    <t>Richmond Court</t>
  </si>
  <si>
    <t>N11</t>
  </si>
  <si>
    <t>https://ibsaproperty.com/properties/apartments/richmond-court/</t>
  </si>
  <si>
    <t>IBSA Properties; 28 flats; Under offer; Sale Price: not disclosed; Sale price estimated at 500,000 GBP per unit</t>
  </si>
  <si>
    <t>Ridgetop, The Ridgeway</t>
  </si>
  <si>
    <t>https://ibsaproperty.com/houses/ridgetop/</t>
  </si>
  <si>
    <t>IBSA Properties; Listed for 950,000 GBP</t>
  </si>
  <si>
    <t>Tadworth Court</t>
  </si>
  <si>
    <t>https://ibsaproperty.com/properties/apartments/tadworth-court/</t>
  </si>
  <si>
    <t>IBSA Properties; 11 flats; Sale Price: not disclosed; Estimated sale price at 500,000 per unit</t>
  </si>
  <si>
    <t>The Ridgeway</t>
  </si>
  <si>
    <t>NW7 1RS</t>
  </si>
  <si>
    <t>https://ibsaproperty.com/houses/no-1-the-ridgeway/</t>
  </si>
  <si>
    <t>https://www.rightmove.co.uk/house-prices/detailMatching.html?prop=46956714&amp;sale=6477646&amp;country=england</t>
  </si>
  <si>
    <t>IBSA Properties; Listed for: 1,395,000 GBP</t>
  </si>
  <si>
    <t>Watch Tower House, The Ridgeway</t>
  </si>
  <si>
    <t>https://ibsaproperty.com/properties/watchtower-house/</t>
  </si>
  <si>
    <t>IBSA Properties; Under Offer; Price not disclosed</t>
  </si>
  <si>
    <t>Whitby Court</t>
  </si>
  <si>
    <t>https://ibsaproperty.com/properties/apartments/whitby-court/</t>
  </si>
  <si>
    <t>IBSA Properties; Under offer on 21-Mar-2020; 25 residential units; Sale Price not disclosed; Estimated sale price at 500,000 GBP per unit.</t>
  </si>
  <si>
    <t>Redcliffe Rd</t>
  </si>
  <si>
    <t>Mansfield, Nottinghamshire</t>
  </si>
  <si>
    <t>NG18 2QN</t>
  </si>
  <si>
    <t>https://www.fhp.co.uk/properties/former-kingdom-hall-redcliffe-road</t>
  </si>
  <si>
    <t>Lowood House, Partingdale Lane</t>
  </si>
  <si>
    <t>Mill Hill, London</t>
  </si>
  <si>
    <t>NW7 1NS</t>
  </si>
  <si>
    <t>https://ibsaproperty.com/houses/lowood-house/</t>
  </si>
  <si>
    <t>59a</t>
  </si>
  <si>
    <t>Bridge St</t>
  </si>
  <si>
    <t>Morpeth</t>
  </si>
  <si>
    <t>NE61 1PQ</t>
  </si>
  <si>
    <t>https://nethouseprices.com/house-prices/street-details-sale/6b32222cffed01f1e0536c04a8c0d2c8/59%20bridge%20street,%20morpeth,%20ne61%201pq/2018</t>
  </si>
  <si>
    <t>Cemetery Rd</t>
  </si>
  <si>
    <t>Ogmore Vale, Bridgend</t>
  </si>
  <si>
    <t>CF32 7HR</t>
  </si>
  <si>
    <t>Property listing not found. Now a Martial Arts dojo since 2015. Used 2015 as an estimated sale date.</t>
  </si>
  <si>
    <t>Hallfields Ln</t>
  </si>
  <si>
    <t>Peterborough, Cambridgeshire</t>
  </si>
  <si>
    <t>PE4 7YH</t>
  </si>
  <si>
    <t>On Kimmy's list. Can't find property listing.</t>
  </si>
  <si>
    <t>Station Rd</t>
  </si>
  <si>
    <t>Plymouth</t>
  </si>
  <si>
    <t>PL7 2AU</t>
  </si>
  <si>
    <t>https://www.realla.co.uk/details/16532523</t>
  </si>
  <si>
    <t>Stonyflat Bank</t>
  </si>
  <si>
    <t>Prudhoe, Northumberland</t>
  </si>
  <si>
    <t>NE42 5EP</t>
  </si>
  <si>
    <t>https://www.housepricesintheuk.co.uk/h/KINGDOM+HALL-STONYFLAT+BANK-PRUDHOE-NE42+5EP</t>
  </si>
  <si>
    <t>Church St</t>
  </si>
  <si>
    <t>Runcorn</t>
  </si>
  <si>
    <t>WA7 1LX</t>
  </si>
  <si>
    <t>https://www.zoopla.co.uk/property/29-church-street/runcorn/wa7-1lx/29187290</t>
  </si>
  <si>
    <t>Now a schoolwear shop</t>
  </si>
  <si>
    <t>Sleaps Hyde</t>
  </si>
  <si>
    <t>Stevenage</t>
  </si>
  <si>
    <t>SG2 8JU</t>
  </si>
  <si>
    <t>https://www.bernardgordon.co.uk/property/detached-d1-meeting-hall-with-parking-freehold-for-sale-stevenage-sg2/</t>
  </si>
  <si>
    <t>Lickhill Rd</t>
  </si>
  <si>
    <t>Stourport-on-severn</t>
  </si>
  <si>
    <t>DY13 8SA</t>
  </si>
  <si>
    <t>https://nethouseprices.com/house-prices/street-details-sale/5f54b81e3d6f2b45e0536b04a8c01fb0/kingdom%20hall%20lickhill%20road,%20stourport-on-severn,%20dy13%208sa/2017</t>
  </si>
  <si>
    <t>Will convert to townhouses. https://www.kidderminstershuttle.co.uk/news/18128758.plans-convert-stourport-church-homes/ ; https://media.onthemarket.com/properties/3867433/doc_0_0.pdf</t>
  </si>
  <si>
    <t>Sand Banks Rd</t>
  </si>
  <si>
    <t>Walsall</t>
  </si>
  <si>
    <t>Ellerbeck</t>
  </si>
  <si>
    <t>Wilnecote, Tamworth</t>
  </si>
  <si>
    <t>https://www.rightmove.co.uk/commercial-property-for-sale/property-83757497.html</t>
  </si>
  <si>
    <t>Kiana Ln</t>
  </si>
  <si>
    <t>Kenai</t>
  </si>
  <si>
    <t>AK</t>
  </si>
  <si>
    <t>United States - US</t>
  </si>
  <si>
    <t>https://www.realtor.com/realestateandhomes-detail/1311-Kiana-Ln_Kenai_AK_99611_M97424-25164</t>
  </si>
  <si>
    <t>NIC 11-Aug-2019</t>
  </si>
  <si>
    <t>1411-1414</t>
  </si>
  <si>
    <t>2nd Ave N</t>
  </si>
  <si>
    <t>Bessemer</t>
  </si>
  <si>
    <t>AL</t>
  </si>
  <si>
    <t>Fulton ave</t>
  </si>
  <si>
    <t>https://www.google.com/maps/place/700+Fulton+Ave,+Birmingham,+AL+35217/@33.572065,-86.7822517,3a,75y,6.22h,79.54t/data=!3m7!1e1!3m5!1sj0DLopz_3Y3bUi9fLSBfJw!2e0!5s20110801T000000!7i13312!8i6656!4m5!3m4!1s0x88891b2a7722ec29:0x3a78f066fdc6b7f5!8m2!3d33.5722783!4d-86.7820486</t>
  </si>
  <si>
    <t>Sold to House of Prayer church</t>
  </si>
  <si>
    <t>Kingdom Hall Ln</t>
  </si>
  <si>
    <t>Dora</t>
  </si>
  <si>
    <t>https://www.greateralabamamls.com/commercial-for-sale/110-KINGDOM-HALL-LN-Dora-AL-35062-271309935</t>
  </si>
  <si>
    <t>Original Price: $79,000</t>
  </si>
  <si>
    <t>Fields ave</t>
  </si>
  <si>
    <t xml:space="preserve">Gadsden </t>
  </si>
  <si>
    <t>https://www.manta.com/c/mbn2ln8/7th-day-christian-fellowship</t>
  </si>
  <si>
    <t>Sold to the 7th Day Christian Fellowship church</t>
  </si>
  <si>
    <t>US HWY 80</t>
  </si>
  <si>
    <t>Phenix City</t>
  </si>
  <si>
    <t>http://soldbyplatinum.com/homes-for-sale-details/4602-US-HIGHWAY-80-PHENIX-CITY-AL-36869/145251/532/</t>
  </si>
  <si>
    <t>Canyon rd</t>
  </si>
  <si>
    <t>Vestavia-Birmingham</t>
  </si>
  <si>
    <t>https://www.realtytrac.com/property/al/vestavia-hills/35216/1929-canyon-rd/197999537/</t>
  </si>
  <si>
    <t>Sold to a church</t>
  </si>
  <si>
    <t>Owen St</t>
  </si>
  <si>
    <t>Ashdown</t>
  </si>
  <si>
    <t>AR</t>
  </si>
  <si>
    <t>https://www.realtor.com/realestateandhomes-detail/630-Owen-St_Ashdown_AR_71822_M86780-63597</t>
  </si>
  <si>
    <t>Highway 95 W.</t>
  </si>
  <si>
    <t>Clinton</t>
  </si>
  <si>
    <t>https://www.google.com/maps/place/1367+AR-95,+Clinton,+AR+72031/@35.5939512,-92.4822367,3a,37.5y,189.67h,80.83t/data=!3m6!1e1!3m4!1s9cVPI1qh9SGey4zG1YrJ7Q!2e0!7i13312!8i6656!4m5!3m4!1s0x87cdf5a2c649cc39:0xf9a3a7e3b4ca8691!8m2!3d35.5942638!4d-92.4816184</t>
  </si>
  <si>
    <t>Sold to a preschool</t>
  </si>
  <si>
    <t>W. Pierce St</t>
  </si>
  <si>
    <t>Crossett</t>
  </si>
  <si>
    <t>https://www.realtor.com/realestateandhomes-detail/402-W-Pierce-St_Crossett_AR_71635_M79318-71734</t>
  </si>
  <si>
    <t>Real estate called. For slae for $122,500  For sale sign out front- https://www.google.com/maps/place/402+W+Pierce+St,+Crossett,+AR+71635/@33.1658674,-91.9503225,3a,75y,322.03h,92.62t/data=!3m7!1e1!3m5!1s7epOw7VI_wUqG-HpS83gHA!2e0!5s20140501T000000!7i13312!8i6656!4m5!3m4!1s0x862dd0d83faf4f41:0x61dc0e4f98660087!8m2!3d33.166194!4d-91.9503749</t>
  </si>
  <si>
    <t>E. Main st</t>
  </si>
  <si>
    <t>El Dorado</t>
  </si>
  <si>
    <t>https://www.zillow.com/homedetails/3330-Main-El-Dorado-AR-71730/2086929181_zpid/</t>
  </si>
  <si>
    <t>Sold to Church</t>
  </si>
  <si>
    <t>Xavier St</t>
  </si>
  <si>
    <t>Fort Smith</t>
  </si>
  <si>
    <t>https://www.realtor.com/realestateandhomes-detail/706-Xavier-St_Fort-Smith_AR_72901_M86768-53540?fbclid=IwAR3CCtb1d7YiRtaqsDwDLg-hB0HGQLWJ8kg407OO48VdGNodgP3htUNROg4</t>
  </si>
  <si>
    <t>Originally listed for $190,000. https://www.zillow.com/homedetails/706-Xavier-St-Fort-Smith-AR-72901/117936256_zpid/</t>
  </si>
  <si>
    <t>Johnson St</t>
  </si>
  <si>
    <t xml:space="preserve">Fort Smith </t>
  </si>
  <si>
    <t>https://www.movoto.com/fort-smith-ar/3509-johnson-st-fort-smith-ar-72904/pid_ulhonmbs8g/</t>
  </si>
  <si>
    <t>Sold to King Solomon Missionary Baptist church</t>
  </si>
  <si>
    <t>5th Ave SW</t>
  </si>
  <si>
    <t>Gravette</t>
  </si>
  <si>
    <t>https://www.xome.com/realestate/208-5th-ave-sw-gravette-ar-72736-7270994</t>
  </si>
  <si>
    <t>Nix road</t>
  </si>
  <si>
    <t>Little Rock</t>
  </si>
  <si>
    <t>https://www.xome.com/realestate/1000-nix-rd-little-rock-ar-72211-8820405</t>
  </si>
  <si>
    <t>True Source publishing co now</t>
  </si>
  <si>
    <t>Lonoke</t>
  </si>
  <si>
    <t>https://www.redfin.com/AR/Lonoke/718-Church-St-72086/home/81459782</t>
  </si>
  <si>
    <t>Highway 71 N.</t>
  </si>
  <si>
    <t>Mountainburg</t>
  </si>
  <si>
    <t>https://www.google.com/maps/place/9625+N+Hwy+71,+Mountainburg,+AR+72946/@35.5759023,-94.1973073,3a,75y,357.79h,97.82t/data=!3m6!1e1!3m4!1s-165MH1lPn5os89EHEav-w!2e0!7i13312!8i6656!4m5!3m4!1s0x87cbc67ece9c44b5:0x462391dc9e5b77f6!8m2!3d35.5768021!4d-94.197129</t>
  </si>
  <si>
    <t>Sold to Our Savior Church</t>
  </si>
  <si>
    <t>Paris</t>
  </si>
  <si>
    <t>Eastline Rd</t>
  </si>
  <si>
    <t>Searcy</t>
  </si>
  <si>
    <t>https://www.xome.com/realestate/2723-eastline-rd-searcy-ar-72143-9362202</t>
  </si>
  <si>
    <t>Cheatham st</t>
  </si>
  <si>
    <t>White Hall</t>
  </si>
  <si>
    <t>https://www.realtytrac.com/property/ar/white-hall/71602/5601-cheatham-ave/236404095/</t>
  </si>
  <si>
    <t>Sold to United Missionary Baptist church</t>
  </si>
  <si>
    <t>E. Boulder Dr</t>
  </si>
  <si>
    <t>Apache Junction</t>
  </si>
  <si>
    <t>AZ</t>
  </si>
  <si>
    <t>https://www.realtytrac.com/property/az/apache-junction/85120/10701-e-boulder-dr/144447551/</t>
  </si>
  <si>
    <t>Sold to Harmony Community Baptist church</t>
  </si>
  <si>
    <t>E. Abbott St</t>
  </si>
  <si>
    <t>Black Canyon City</t>
  </si>
  <si>
    <t>https://www.realtor.com/realestateandhomes-detail/19211-E-Abbott-St_Black-Canyon-City_AZ_85324_M16168-53094</t>
  </si>
  <si>
    <t>Originallly listed for $99,500 in 2008</t>
  </si>
  <si>
    <t>E. Clanton</t>
  </si>
  <si>
    <t>Buckeye</t>
  </si>
  <si>
    <t>https://www.google.com/maps/place/401+E+Clanton+Ave,+Buckeye,+AZ+85326/@33.3680795,-112.5861329,3a,75y,177.3h,90t/data=!3m6!1e1!3m4!1sF2LiN7EPlrGTBAFz4MhTyA!2e0!7i13312!8i6656!4m5!3m4!1s0x872b3492cf15f2e5:0x193f5bface8110de!8m2!3d33.3678765!4d-112.5860863</t>
  </si>
  <si>
    <t>Now is an Auto parts store and is up for sale again for $260,000- https://www.loopnet.com/Listing/16562908/401-E-Clanton-Ave-Buckeye-AZ/</t>
  </si>
  <si>
    <t>W. Palo Verde Ave</t>
  </si>
  <si>
    <t>Coolidge</t>
  </si>
  <si>
    <t>https://www.coldwellbankerhomes.com/az/coolidge/300-w-palo-verde-ave/pid_26862679/?fbclid=IwAR3Z4UoB4lyw4jqO4sTRyTTI2tO0XhrFXBYuKJKeyE9w6fZ7ILL1wKmWdBo</t>
  </si>
  <si>
    <t>Kingdom Hall was listed there in 2012</t>
  </si>
  <si>
    <t>S. Mckinney Ave</t>
  </si>
  <si>
    <t>Globe</t>
  </si>
  <si>
    <t>https://www.xome.com/realestate/5521-s-mckinney-ave-globe-az-85501-4123180</t>
  </si>
  <si>
    <t>Bought by Ppep Inc</t>
  </si>
  <si>
    <t>Hermosa Dr</t>
  </si>
  <si>
    <t>Holbrook</t>
  </si>
  <si>
    <t>https://www.coldwellbankerhomes.com/az/holbrook/300-hermosa-dr/pid_30332432/</t>
  </si>
  <si>
    <t>Listed for $75,000 on 14-Apr-2019</t>
  </si>
  <si>
    <t>N. Black Canyon Hwy</t>
  </si>
  <si>
    <t>Phoenix</t>
  </si>
  <si>
    <t>https://www.xome.com/realestate/14600-n-black-canyon-hwy-phoenix-az-85053-4926823</t>
  </si>
  <si>
    <t>Bought by the Souls Harbor Apostolic church- http://soulsharborlighthouse.org/wp/</t>
  </si>
  <si>
    <t>S. 12th st</t>
  </si>
  <si>
    <t>https://www.realtytrac.com/property/az/phoenix/85040/4215-s-12th-st/159206717/</t>
  </si>
  <si>
    <t>Couldn't find a price</t>
  </si>
  <si>
    <t>E Horizon Ln</t>
  </si>
  <si>
    <t>Prescott Valley</t>
  </si>
  <si>
    <t>https://www.zillow.com/homedetails/6933-E-Horizon-Ln-Prescott-Valley-AZ-86314/2090168061_zpid/</t>
  </si>
  <si>
    <t>Listed for $800,000 on 11-Apr-2018</t>
  </si>
  <si>
    <t>Northview Rd</t>
  </si>
  <si>
    <t>Sedona</t>
  </si>
  <si>
    <t>https://www.coldwellbankerhomes.com/az/sedona/100-northview-rd/pid_31654369/</t>
  </si>
  <si>
    <t>This one is pending right now</t>
  </si>
  <si>
    <t>E Rex st</t>
  </si>
  <si>
    <t>Tucson</t>
  </si>
  <si>
    <t>This one is listed as a private listing at this time</t>
  </si>
  <si>
    <t>E. Miles st</t>
  </si>
  <si>
    <t>https://tucson.com/lifestyles/faith-and-values/a-buddhist-first/article_89701a54-41e1-5711-a2c9-39718f64d5af.html</t>
  </si>
  <si>
    <t>Bought by a Buddhist Mosque</t>
  </si>
  <si>
    <t>Flores st</t>
  </si>
  <si>
    <t>This is a private listing at this point, so there is no public listing</t>
  </si>
  <si>
    <t>Lake st</t>
  </si>
  <si>
    <t>Bakersfield</t>
  </si>
  <si>
    <t>CA</t>
  </si>
  <si>
    <t>https://www.realtytrac.com/property/ca/bakersfield/93305/1631-lake-st/40160059/</t>
  </si>
  <si>
    <t>Bought by the Livingstone for Christ church</t>
  </si>
  <si>
    <t>Pioneer Dr</t>
  </si>
  <si>
    <t>https://www.redfin.com/CA/Bakersfield/5702-Pioneer-Dr-93306/home/60504956</t>
  </si>
  <si>
    <t>Now a Child Day Care</t>
  </si>
  <si>
    <t>Wendell ave</t>
  </si>
  <si>
    <t>https://www.google.com/maps/@35.3897574,-118.9828889,3a,75y,129.08h,86.76t/data=!3m6!1e1!3m4!1si6CvKQlL3Co5SUBYsBWsJA!2e0!7i13312!8i6656</t>
  </si>
  <si>
    <t>Now the Iglesia De Dios church</t>
  </si>
  <si>
    <t>N Helm Ave</t>
  </si>
  <si>
    <t>Fresno</t>
  </si>
  <si>
    <t>https://www.loopnet.com/Listing/275-N-Helm-Ave-Fresno-CA/13503145/</t>
  </si>
  <si>
    <t>Price is now 'Upon Request'</t>
  </si>
  <si>
    <t>Berg Street</t>
  </si>
  <si>
    <t>Granite Bay</t>
  </si>
  <si>
    <t>https://www.waterboards.ca.gov/drinking_water/programs/documents/ddwem/dwp%20enforcement%20actions/Placer/2019/01_61_19C_006_3106491_MB.pdf</t>
  </si>
  <si>
    <t>Granite Bay Congregation, Non compliance with CA health &amp; safety notice, found it online.  Drove to the site &amp; KH Sign is gone, building looks totally different.  County may have taken possession.  I'll try to do more research.</t>
  </si>
  <si>
    <t>E 5th St</t>
  </si>
  <si>
    <t>Holtville</t>
  </si>
  <si>
    <t>https://www.realtytrac.com/property/ca/holtville/92250/825-e-5th-st/157390788/</t>
  </si>
  <si>
    <t>Farley Rd</t>
  </si>
  <si>
    <t>Los Gatos</t>
  </si>
  <si>
    <t>https://www.mlslistings.com/property/ml81703019/16769-farley-rd-los-gatos-ca-95032/8884933</t>
  </si>
  <si>
    <t>Bay Rd</t>
  </si>
  <si>
    <t>Menlo Park</t>
  </si>
  <si>
    <t>https://www.mlslistings.com/property/ml81685442/811-bay-rd-menlo-park-ca-94025/8713375</t>
  </si>
  <si>
    <t>Oro Bangor Hwy</t>
  </si>
  <si>
    <t>Oroville</t>
  </si>
  <si>
    <t>https://www.realtor.com/realestateandhomes-detail/3161-Oro-Bangor-Hwy_Oroville_CA_95966_M28584-28834</t>
  </si>
  <si>
    <t>Sunset Dr</t>
  </si>
  <si>
    <t>Pacific Grove</t>
  </si>
  <si>
    <t>https://www.coldwellbankerhomes.com/ca/pacific-grove/1100-sunset-dr/pid_27083176/</t>
  </si>
  <si>
    <t>Listed for $1,350,000 on 28-Sep-2018</t>
  </si>
  <si>
    <t>Del Mar Ave</t>
  </si>
  <si>
    <t>Rosemead</t>
  </si>
  <si>
    <t xml:space="preserve">Been empty for ~6 months </t>
  </si>
  <si>
    <t>Rialto St</t>
  </si>
  <si>
    <t>San Diego</t>
  </si>
  <si>
    <t>https://www.redfin.com/CA/San-Diego/4312-Rialto-St-92107/home/18327823</t>
  </si>
  <si>
    <t>County Rd 306</t>
  </si>
  <si>
    <t>Buena Vista</t>
  </si>
  <si>
    <t>CO</t>
  </si>
  <si>
    <t>S. Josephine St</t>
  </si>
  <si>
    <t>Denver</t>
  </si>
  <si>
    <t>https://www.zillow.com/homedetails/2606-S-Josephine-St-Denver-CO-80210/2092159230_zpid/</t>
  </si>
  <si>
    <t>S Depew St</t>
  </si>
  <si>
    <t>Lakewood</t>
  </si>
  <si>
    <t>https://www.realtor.com/realestateandhomes-detail/555-S-Depew-St_Lakewood_CO_80226_M29219-25782</t>
  </si>
  <si>
    <t>S. Sheridan</t>
  </si>
  <si>
    <t>https://www.realtor.com/realestateandhomes-detail/1805-S-Sheridan-Blvd_Lakewood_CO_80232_M10994-10897</t>
  </si>
  <si>
    <t>Bought by a funeral home</t>
  </si>
  <si>
    <t>Los Ranchitos Dr</t>
  </si>
  <si>
    <t>Peyton</t>
  </si>
  <si>
    <t>https://www.loopnet.com/Listing/4355-Los-Ranchitos-Dr-Peyton-CO/18798190/</t>
  </si>
  <si>
    <t>N. Polk Ave</t>
  </si>
  <si>
    <t>Walsenburg</t>
  </si>
  <si>
    <t>https://www.recolorado.com/Listing/239572668-151082055/625-north-polk-avenue-walsenburg-co-81089/</t>
  </si>
  <si>
    <t>Originally listed for $ 224,900</t>
  </si>
  <si>
    <t>Greenwich</t>
  </si>
  <si>
    <t>CT</t>
  </si>
  <si>
    <t>Milford Point Rd</t>
  </si>
  <si>
    <t>Milford</t>
  </si>
  <si>
    <t>06460</t>
  </si>
  <si>
    <t>https://www.coldwellbankerhomes.com/ct/milford/494-milford-point-rd/pid_29107932/</t>
  </si>
  <si>
    <t>Listed for $424,900 on 10-Mar-2019; https://www.milfordmirror.com/news/article/French-Speaking-Baptist-Church-moves-into-former-14419886.php ; https://www.youtube.com/watch?v=OfGj2EJGsd8</t>
  </si>
  <si>
    <t>Slater Rd</t>
  </si>
  <si>
    <t>New Britain</t>
  </si>
  <si>
    <t>06053</t>
  </si>
  <si>
    <t>https://www.realtytrac.com/property/ct/new-britain/06053/232-slater-rd/202112341/</t>
  </si>
  <si>
    <t>Sales price unknown</t>
  </si>
  <si>
    <t>Herschler Rd</t>
  </si>
  <si>
    <t>Oakdale</t>
  </si>
  <si>
    <t>06370</t>
  </si>
  <si>
    <t>https://www.coldwellbankerhomes.com/ct/montville/5-herschler-road/pid_20626760/</t>
  </si>
  <si>
    <t>Listed for $284,500 on 24-Oct-2017</t>
  </si>
  <si>
    <t>Spring Hill Road</t>
  </si>
  <si>
    <t>Trumbull</t>
  </si>
  <si>
    <t>06611</t>
  </si>
  <si>
    <t>https://www.google.com/maps/uv?hl=en&amp;pb=!1s0x89e808361186038b:0x430dc230d6ff71b6!3m1!7e115!4s//geo0.ggpht.com/cbk?panoid%3Do4HsHzpIaT7slbutMxy7Xw%26output%3Dthumbnail%26cb_client%3Dsearch.gws-prod/local-details-getcard.gps%26thumb%3D2%26yaw%3D289.9428%26pitch%3D0%26thumbfov%3D100%26w%3D520%26h%3D175!5s211+spring+hill+road+trumbull+ct+sold+-+Google+Search&amp;imagekey=!1e2!2so4HsHzpIaT7slbutMxy7Xw</t>
  </si>
  <si>
    <t>Originally listed for $340,000</t>
  </si>
  <si>
    <t>Pinehurst St</t>
  </si>
  <si>
    <t>Bartow</t>
  </si>
  <si>
    <t>FL</t>
  </si>
  <si>
    <t>Buyer: Bible Baptist Church</t>
  </si>
  <si>
    <t>Fort Lauderdale</t>
  </si>
  <si>
    <t>Fl-16</t>
  </si>
  <si>
    <t>Green Cove Springs</t>
  </si>
  <si>
    <t>https://www.exitrealestategallery.com/homes/3860-Fl-16/GREEN-COVE-SPRINGS/FL/32043/102446940/</t>
  </si>
  <si>
    <t>SW 288th St</t>
  </si>
  <si>
    <t>Homestead</t>
  </si>
  <si>
    <t>https://clustrmaps.com/a/3cdk26/</t>
  </si>
  <si>
    <t>Used Assessed Value, as sale price unknown.</t>
  </si>
  <si>
    <t>US Highway 129</t>
  </si>
  <si>
    <t>Live Oak</t>
  </si>
  <si>
    <t>https://www.loopnet.com/Listing/4468-US-Highway-129-Live-Oak-FL/19079219/</t>
  </si>
  <si>
    <t>Winton Ave</t>
  </si>
  <si>
    <t>Pensacola</t>
  </si>
  <si>
    <t>https://www.xome.com/commercial-for-sale/918-Winton-Ave-Pensacola-FL-32507-308653742</t>
  </si>
  <si>
    <t>Listed for $225,000 on 10-May-2019</t>
  </si>
  <si>
    <t>Skewlee Road</t>
  </si>
  <si>
    <t>Thonotosassa</t>
  </si>
  <si>
    <t>https://www.realliving.com/commercial-for-sale/9844-SKEWLEE-ROAD-Thonotosassa-FL-33592-283947547</t>
  </si>
  <si>
    <t>Originally listed for $325,000</t>
  </si>
  <si>
    <t>Jackson Rd</t>
  </si>
  <si>
    <t>Cleveland</t>
  </si>
  <si>
    <t>GA</t>
  </si>
  <si>
    <t>Listed for $185,000</t>
  </si>
  <si>
    <t>North Shallowford Rd</t>
  </si>
  <si>
    <t>Dunwoody</t>
  </si>
  <si>
    <t>http://www.lpcsoutheast.com/properties/4444-n-shallowford-rd/</t>
  </si>
  <si>
    <t>Previous congregation was Brookhaven Spanish. Property was an old postal annex. Sold, Cong sent to another KH off Jimmy Carter Blvd, norcross, ga. Extra space paid $4 million and built a storage facility. Profit for WTC was $2.7 million.</t>
  </si>
  <si>
    <t>Eatonton Hwy</t>
  </si>
  <si>
    <t>Gray</t>
  </si>
  <si>
    <t>https://www.zillow.com/homedetails/276-Eatonton-Hwy-Gray-GA-31032/247190360_zpid/</t>
  </si>
  <si>
    <t>Listed for: $159,000</t>
  </si>
  <si>
    <t>Cove Rd</t>
  </si>
  <si>
    <t>Jasper</t>
  </si>
  <si>
    <t>https://www.zillow.com/homedetails/971-Cove-Rd-Jasper-GA-30143/2133970304_zpid/</t>
  </si>
  <si>
    <t>Simpson Rd</t>
  </si>
  <si>
    <t>Jonesboro</t>
  </si>
  <si>
    <t>https://www.enrichedrealestate.com/9901-SIMPSON-RD-JONESBORO-GA-30238/InstitutionalSpecialPurposeBuildings/Religious/Id=187110395&amp;searchId=205c057c-676c-4449-8948-5117e979e5ab</t>
  </si>
  <si>
    <t>Walnut St</t>
  </si>
  <si>
    <t>Montezuma</t>
  </si>
  <si>
    <t>https://www.georgiacommercialrealestate.net/featured-listings/111-walnut-street-montezuma-georgia-31063</t>
  </si>
  <si>
    <t>Assembly Hall w/ 5 Kingdom Halls</t>
  </si>
  <si>
    <t>Kalanianaole Hwy</t>
  </si>
  <si>
    <t>Honolulu</t>
  </si>
  <si>
    <t>HI</t>
  </si>
  <si>
    <t>https://www.realtytrac.com/property/hi/honolulu/96821/5156-kalanianaole-hwy/199935755/</t>
  </si>
  <si>
    <t>Sold to Long's Drug store: https://www.bizjournals.com/pacific/news/2014/07/22/longs-drugs-to-open-new-store-in-east-honolulu.html?page=all</t>
  </si>
  <si>
    <t>Naoma dr SW</t>
  </si>
  <si>
    <t>Cedar Rapids</t>
  </si>
  <si>
    <t>IA</t>
  </si>
  <si>
    <t>https://www.xome.com/realestate/1700-naoma-dr-sw-cedar-rapids-ia-52404-25449428</t>
  </si>
  <si>
    <t>Sold to Hindu Temple</t>
  </si>
  <si>
    <t>S. Iowa st</t>
  </si>
  <si>
    <t>Charles City</t>
  </si>
  <si>
    <t>https://www.realtor.com/realestateandhomes-detail/605-S-Iowa-St_Charles-City_IA_50616_M87950-87308</t>
  </si>
  <si>
    <t>N. 3rd st</t>
  </si>
  <si>
    <t>https://www.trulia.com/p/ia/clinton/3704-n-3rd-st-clinton-ia-52732--2100809462#lil-streetViewTab</t>
  </si>
  <si>
    <t>Now the Daybreak Wesleyan Church</t>
  </si>
  <si>
    <t>N. pine st</t>
  </si>
  <si>
    <t>Davenport</t>
  </si>
  <si>
    <t>https://www.realtytrac.com/property/ia/davenport/52806/3956-n-pine-st/212725461/</t>
  </si>
  <si>
    <t>Now an Insurance office</t>
  </si>
  <si>
    <t>7th ave SE</t>
  </si>
  <si>
    <t>Dyersville</t>
  </si>
  <si>
    <t>https://www.realtytrac.com/property/ia/dyersville/52040/927-7th-ave-se/199644383/</t>
  </si>
  <si>
    <t>Sold to Therapeutic Massage center</t>
  </si>
  <si>
    <t>S.E Iowa</t>
  </si>
  <si>
    <t>Fairfield</t>
  </si>
  <si>
    <t>E. 6th st</t>
  </si>
  <si>
    <t>Garner</t>
  </si>
  <si>
    <t>https://www.xome.com/realestate/395-e-6th-st-garner-ia-50438-41612761</t>
  </si>
  <si>
    <t>Bought by develper and turned into a duplex</t>
  </si>
  <si>
    <t>Park ave</t>
  </si>
  <si>
    <t>Guthrie Center</t>
  </si>
  <si>
    <t>https://www.xome.com/realestate/207-park-ave-guthrie-center-ia-50115-149765261</t>
  </si>
  <si>
    <t>Bought by a Child Day Care</t>
  </si>
  <si>
    <t>Hawkeye ave</t>
  </si>
  <si>
    <t>Harlan</t>
  </si>
  <si>
    <t>https://www.exitrealtyhawkeye.com/real-estate/Iowa-Regional/Commercial-Sale/property/5495300-1301-Hawkeye-Avenue-Harlan-IA-51537/</t>
  </si>
  <si>
    <t>N. 6th ave E</t>
  </si>
  <si>
    <t>Newton</t>
  </si>
  <si>
    <t>https://www.google.com/maps/place/909+N+6th+Ave+E,+Newton,+IA+50208/@41.7041722,-93.0419195,3a,75y,175.13h,90t/data=!3m6!1e1!3m4!1sry5DrIXji99wcEw9fTGfXQ!2e0!7i13312!8i6656!4m5!3m4!1s0x87ef1cc16f402f2f:0xd1e6dbe4848b0d72!8m2!3d41.7039543!4d-93.0418937</t>
  </si>
  <si>
    <t>Sold to Bible Missionary Church</t>
  </si>
  <si>
    <t>Iowa St</t>
  </si>
  <si>
    <t>Perry</t>
  </si>
  <si>
    <t>https://www.zillow.com/homedetails/2420-Iowa-St-Perry-IA-50220/296649958_zpid/</t>
  </si>
  <si>
    <t>Argus rd</t>
  </si>
  <si>
    <t>Shenandoah</t>
  </si>
  <si>
    <t>https://www.mystatemls.com/property/210_Argus_Road-Shenandoah-IA-51601/10557807/</t>
  </si>
  <si>
    <t>Just went under contract 4-21-2020</t>
  </si>
  <si>
    <t>W. 4th st</t>
  </si>
  <si>
    <t>Sioux City</t>
  </si>
  <si>
    <t>https://www.realtytrac.com/property/ia/sioux-city/51103/2929-w-4th-st/186957408/</t>
  </si>
  <si>
    <t>Bought by the New Life Family Church</t>
  </si>
  <si>
    <t>N 5th St</t>
  </si>
  <si>
    <t>Osburn</t>
  </si>
  <si>
    <t>ID</t>
  </si>
  <si>
    <t>https://www.realtor.com/realestateandhomes-detail/315-N-5th-St_Osburn_ID_83849_M99088-33217</t>
  </si>
  <si>
    <t>Listed for $275,000 on 11-Oct-2019</t>
  </si>
  <si>
    <t>S 12th St</t>
  </si>
  <si>
    <t>Payette</t>
  </si>
  <si>
    <t>Listing not found. On Kimmy's list. Used stated value on list as an estimate. Now a Gospel Tabernacle church.</t>
  </si>
  <si>
    <t>Center st</t>
  </si>
  <si>
    <t>Anna</t>
  </si>
  <si>
    <t>IL</t>
  </si>
  <si>
    <t>https://www.trulia.com/p/il/anna/208-center-st-anna-il-62906--2059543794</t>
  </si>
  <si>
    <t>Sold to New Beginnings Community church</t>
  </si>
  <si>
    <t>W Northwest Hwy</t>
  </si>
  <si>
    <t>Barrington</t>
  </si>
  <si>
    <t>https://www.coldwellbankerhomes.com/il/barrington/950-west-northwest-hwy/pid_33282185/?fbclid=IwAR0k96u_Iz2OfmR1o9kgjoqC7edIGu75DRMdYQ2J0FeXY1wqw02C4cHYaxU</t>
  </si>
  <si>
    <t>Listed on 20 Oct 2019 for $475,000</t>
  </si>
  <si>
    <t>18884 N</t>
  </si>
  <si>
    <t>Bloomington</t>
  </si>
  <si>
    <t>NIC 2019/08/11</t>
  </si>
  <si>
    <t>Lincoln Highway rd</t>
  </si>
  <si>
    <t>Charleston</t>
  </si>
  <si>
    <t>https://www.google.com/maps/place/5566+Lincoln+Hwy+Rd,+Charleston,+IL+61920/@39.457089,-88.199577,3a,75y,135.52h,82.68t/data=!3m6!1e1!3m4!1snwVUb3vJb6AWuzA67XSVVw!2e0!7i16384!8i8192!4m5!3m4!1s0x887302dc7b846c11:0x1240db99d5dac291!8m2!3d39.4565795!4d-88.2001806</t>
  </si>
  <si>
    <t>Sold to Midwest Neuro Fitness</t>
  </si>
  <si>
    <t>150 E</t>
  </si>
  <si>
    <t>124th Place</t>
  </si>
  <si>
    <t>Chicago</t>
  </si>
  <si>
    <t>11533 S</t>
  </si>
  <si>
    <t>Ashland Ave</t>
  </si>
  <si>
    <t>E. 134th st</t>
  </si>
  <si>
    <t>https://www.realtytrac.com/property/il/chicago/60827/935-e-134th-st/2541638/</t>
  </si>
  <si>
    <t>Sold to City-Hope Evangelical church</t>
  </si>
  <si>
    <t>E. Marquette rd</t>
  </si>
  <si>
    <t>https://www.realtytrac.com/property/il/chicago/60637/1401-e-marquette-rd/175898406/</t>
  </si>
  <si>
    <t>Sold to Living Testimony Ministry church</t>
  </si>
  <si>
    <t>W. 31st Street</t>
  </si>
  <si>
    <t>https://www.realtytrac.com/property/il/chicago/60623/4101-w-31st-st/144619566/</t>
  </si>
  <si>
    <t>Sold to Iglesia Nueva Uncion church</t>
  </si>
  <si>
    <t>W. Wolfram st</t>
  </si>
  <si>
    <t>https://www.coldwellbankerhomes.com/il/chicago/1515-west-wolfram-street/pid_23792681/</t>
  </si>
  <si>
    <t>E. Prairie St</t>
  </si>
  <si>
    <t>Jerseyville</t>
  </si>
  <si>
    <t>https://www.loopnet.com/Listing/18345877/906-E-Prairie-St-Jerseyville-IL/</t>
  </si>
  <si>
    <t>Sold and is house now</t>
  </si>
  <si>
    <t>E. Main St</t>
  </si>
  <si>
    <t>Knoxville</t>
  </si>
  <si>
    <t>https://www.xome.com/realestate/809-e-main-st-knoxville-il-61448-37796035</t>
  </si>
  <si>
    <t>Sold to school disrict</t>
  </si>
  <si>
    <t>E. 154th St</t>
  </si>
  <si>
    <t>Marvey</t>
  </si>
  <si>
    <t>https://www.movoto.com/harvey-il/117-e-154th-st-harvey-il-60426-461_08737097/</t>
  </si>
  <si>
    <t>Sold to Kings Majesty Ministries church</t>
  </si>
  <si>
    <t>Moultrie Ave</t>
  </si>
  <si>
    <t>Mattoon</t>
  </si>
  <si>
    <t>https://www.viewegrealestate.com/real-estate/3322-moultrie-avenue-mattoon-il-61938/6182114/59032167</t>
  </si>
  <si>
    <t>Originally listed for $99,900</t>
  </si>
  <si>
    <t>US-52</t>
  </si>
  <si>
    <t>Mendota</t>
  </si>
  <si>
    <t>https://www.realtor.com/realestateandhomes-detail/192-E-US-Highway-52_Mendota_IL_61342_M82899-29054</t>
  </si>
  <si>
    <t>John Deere Pkwy</t>
  </si>
  <si>
    <t>Moline</t>
  </si>
  <si>
    <t>https://www.ruhlhomes.com/for-sale/homes/7002-john-deere-parkway-moline-il-61265-7039735-825008/</t>
  </si>
  <si>
    <t>Elm St</t>
  </si>
  <si>
    <t>Rockford</t>
  </si>
  <si>
    <t>https://youtu.be/nftXrd28acI</t>
  </si>
  <si>
    <t>Sold to church</t>
  </si>
  <si>
    <t>Oak St</t>
  </si>
  <si>
    <t>https://www.realtor.com/realestateandhomes-detail/615-Oak-St_Rockford_IL_61104_M86781-06702</t>
  </si>
  <si>
    <t>Sold to New Unity Baptist church</t>
  </si>
  <si>
    <t>Chatham rd</t>
  </si>
  <si>
    <t>Springfield</t>
  </si>
  <si>
    <t>https://www.xome.com/realestate/1121-chatham-rd-springfield-il-62704-38008432</t>
  </si>
  <si>
    <t>Sold to Illinois Veternarian college</t>
  </si>
  <si>
    <t>Sandhill rd</t>
  </si>
  <si>
    <t>https://www.realtor.com/realestateandhomes-detail/4150-Sandhill-Rd_Springfield_IL_62702_M71838-19049</t>
  </si>
  <si>
    <t>Sold to First Baptist church</t>
  </si>
  <si>
    <t>W. North St</t>
  </si>
  <si>
    <t>Watseka</t>
  </si>
  <si>
    <t>https://www.xome.com/commercial-for-sale/425-W-North-Street-Watseka-IL-60970-330883931</t>
  </si>
  <si>
    <t>Sold to Agape Fellowship church- Up for sale again for $45,900</t>
  </si>
  <si>
    <t>Linton</t>
  </si>
  <si>
    <t>Wood River</t>
  </si>
  <si>
    <t>https://www.xome.com/realestate/224-linton-st-wood-river-il-62095-36965167</t>
  </si>
  <si>
    <t>Sold to Family of God Pentecostal church</t>
  </si>
  <si>
    <t>W Ensley Ave</t>
  </si>
  <si>
    <t>Auburn</t>
  </si>
  <si>
    <t>IN</t>
  </si>
  <si>
    <t>https://www.realtor.com/realestateandhomes-detail/1020-W-Ensley-Ave_Auburn_IN_46706_M95091-82475</t>
  </si>
  <si>
    <t>Originally: $160,000</t>
  </si>
  <si>
    <t>N Oak St</t>
  </si>
  <si>
    <t>Columbia City</t>
  </si>
  <si>
    <t>https://www.talktotucker.com/homes/500-n-oak-street-n-columbia-city-in-46725/256319</t>
  </si>
  <si>
    <t>East 21st St</t>
  </si>
  <si>
    <t>Indianapolis</t>
  </si>
  <si>
    <t>https://www.zillow.com/homedetails/6811-E-21st-St-Indianapolis-IN-46219/2118235952_zpid/</t>
  </si>
  <si>
    <t>Original Listing: $369,900</t>
  </si>
  <si>
    <t>N Delaware St</t>
  </si>
  <si>
    <t>https://www.indystar.com/story/news/2016/08/19/megachurch-launches-downtown-location-27m-building-purchase/88963678/</t>
  </si>
  <si>
    <t>Listed for: $2,900,000</t>
  </si>
  <si>
    <t>E 216 S</t>
  </si>
  <si>
    <t>Knox</t>
  </si>
  <si>
    <t>https://www.coldwellbankerhomes.com/in/knox/4190-e-216-s/pid_26154560/</t>
  </si>
  <si>
    <t>Listed for: $159,900</t>
  </si>
  <si>
    <t>Eastern Ave</t>
  </si>
  <si>
    <t>Shelbyville</t>
  </si>
  <si>
    <t>https://www.xome.com/commercial-for-sale/420-Eastern-Avenue-Shelbyville-IN-46176-317241730</t>
  </si>
  <si>
    <t>See sales history in link for 2018 delisting amount.</t>
  </si>
  <si>
    <t>S. 5th St</t>
  </si>
  <si>
    <t>Atwood</t>
  </si>
  <si>
    <t>KS</t>
  </si>
  <si>
    <t>http://pinebranchrealestate.com/residential/601s5th.html</t>
  </si>
  <si>
    <t>S. Walnut St</t>
  </si>
  <si>
    <t>Eureka</t>
  </si>
  <si>
    <t>https://www.enrichedrealestate.com/109-S-WALNUT-ST-EUREKA-KS-67045/InstitutionalSpecialPurposeBuildings/Religious/Id=195786014&amp;searchId=18338616-6c7a-486f-87dc-facd76dd0307</t>
  </si>
  <si>
    <t>Used Assessed Market Value, as sale amount is not available.</t>
  </si>
  <si>
    <t>Park St</t>
  </si>
  <si>
    <t>Larned</t>
  </si>
  <si>
    <t>Algonquin Pkwy</t>
  </si>
  <si>
    <t>Louisville</t>
  </si>
  <si>
    <t>KY</t>
  </si>
  <si>
    <t>https://www.redfin.com/KY/Louisville/3406-Algonquin-Pkwy-40211/home/144863827</t>
  </si>
  <si>
    <t>Listed for: $199,900</t>
  </si>
  <si>
    <t>Crest View Dr</t>
  </si>
  <si>
    <t>Manchester</t>
  </si>
  <si>
    <t>On Kimmy's list; Now a medical practice</t>
  </si>
  <si>
    <t>Park View St</t>
  </si>
  <si>
    <t>Olive Hill</t>
  </si>
  <si>
    <t>https://www.rhr.com/ListingDetails/660-Park-View-Lane-Olive-Hill-KY-41164/1714279</t>
  </si>
  <si>
    <t>Hwy 127 S</t>
  </si>
  <si>
    <t>Owenton</t>
  </si>
  <si>
    <t>https://www.sibcycline.com/Listing/NKY/523452/2185-Hwy-127-S-Owenton-KY-40359</t>
  </si>
  <si>
    <t>Rocky Drive</t>
  </si>
  <si>
    <t>https://www.xome.com/homes-for-sale/2101-Rocky-Drive-Paris-KY-49095-324310670</t>
  </si>
  <si>
    <t>Taylor Mill Road</t>
  </si>
  <si>
    <t>Taylor Mill</t>
  </si>
  <si>
    <t>https://www.loopnet.com/Listing/5433-Taylor-Mill-Rd-Taylor-Mill-KY/16112840/</t>
  </si>
  <si>
    <t>Humes Ridge Road</t>
  </si>
  <si>
    <t>Williamstown</t>
  </si>
  <si>
    <t>https://www.xome.com/realestate/205-humes-ridge-rd-williamstown-ky-41097-52021416</t>
  </si>
  <si>
    <t>Was bought by the "God's Community Church" http://4gven.com/index.php/js_events/date-reserved-for-gods-community-church/</t>
  </si>
  <si>
    <t>College rd</t>
  </si>
  <si>
    <t>Eunice</t>
  </si>
  <si>
    <t>LA</t>
  </si>
  <si>
    <t>https://www.latter-blum.com/p/810-College-Road-Eunice-LA-70535/dmgid_136454512</t>
  </si>
  <si>
    <t>Washington St</t>
  </si>
  <si>
    <t>Franklinton</t>
  </si>
  <si>
    <t>https://www.realtytrac.com/property/la/franklinton/70438/2124-washington-st/215809669/</t>
  </si>
  <si>
    <t>Sold to Financial Services</t>
  </si>
  <si>
    <t>Enterprise Dr</t>
  </si>
  <si>
    <t>Houma</t>
  </si>
  <si>
    <t>https://www.loopnet.com/property/214-enterprise-dr-houma-la-70360/22109-41829/</t>
  </si>
  <si>
    <t>Sold to Beacon Light Baptist church</t>
  </si>
  <si>
    <t xml:space="preserve">S. Laurel St </t>
  </si>
  <si>
    <t>Metairie</t>
  </si>
  <si>
    <t>https://www.google.com/maps/place/1310+S+Laurel+St,+Metairie,+LA+70003/@29.9748624,-90.2189185,3a,75y,313.73h,90t/data=!3m6!1e1!3m4!1sIby1SIQtHD5Q5-0ZuyRrlw!2e0!7i13312!8i6656!4m5!3m4!1s0x8620b0a9edc43ad3:0xcbd7a9bce02f976d!8m2!3d29.9750341!4d-90.2191188</t>
  </si>
  <si>
    <t>Sold to Nola Munchies</t>
  </si>
  <si>
    <t>Highway 6</t>
  </si>
  <si>
    <t>Natchitoches</t>
  </si>
  <si>
    <t>https://www.manta.com/c/mtr10d6/abundant-life-internationalministry-inc</t>
  </si>
  <si>
    <t>Abundant Life International Ministry church</t>
  </si>
  <si>
    <t>General Taylor St</t>
  </si>
  <si>
    <t>New Orleans</t>
  </si>
  <si>
    <t>https://www.zillow.com/homedetails/3709-General-Taylor-St-New-Orleans-LA-70125/84478095_zpid/</t>
  </si>
  <si>
    <t>Bought by Little Mt Olive Baptist church. Price and sale year determined from change in tax assessment. For New Orleans, tax assessment is 10% of market value. Tax assessment for 2015 was $16,230, up from $12,000 in 2014.</t>
  </si>
  <si>
    <t>St Ferdinand st</t>
  </si>
  <si>
    <t>https://www.redfin.com/LA/New-Orleans/3536-St-Ferdinand-St-70126/home/85458973</t>
  </si>
  <si>
    <t>Sold to Next Generation of Morning Star church</t>
  </si>
  <si>
    <t>Lafiton la</t>
  </si>
  <si>
    <t>Port Allen</t>
  </si>
  <si>
    <t>https://www.latter-blum.com/p/2360-Lafiton-Ln-Port-Allen-LA-70767/dmgid_135772045</t>
  </si>
  <si>
    <t>Highway 42</t>
  </si>
  <si>
    <t>Prairieville</t>
  </si>
  <si>
    <t>https://www.xome.com/realestate/41150-highway-42-prairieville-la-70769-51874573</t>
  </si>
  <si>
    <t>Bought by Church of God church</t>
  </si>
  <si>
    <t>Highway 1146</t>
  </si>
  <si>
    <t>Rosepine</t>
  </si>
  <si>
    <t>https://www.realtor.com/realestateandhomes-detail/4251-Hwy-1146-Hwy_Rosepine_LA_71459_M76614-90079</t>
  </si>
  <si>
    <t>Bought by Rosepine Church of Christ</t>
  </si>
  <si>
    <t>S. Service rd W</t>
  </si>
  <si>
    <t>Ruston</t>
  </si>
  <si>
    <t>https://www.google.com/maps/place/2401+S+Service+Rd+W,+Ruston,+LA+71270/@32.5397777,-92.6683659,3a,75y,166.9h,89.42t/data=!3m6!1e1!3m4!1s_3xNAh6CK2JLodL3UHGwrQ!2e0!7i13312!8i6656!4m5!3m4!1s0x8631c5a4cd183acd:0x4b2a186c8afce2e3!8m2!3d32.5393462!4d-92.6684892</t>
  </si>
  <si>
    <t>Sold to King's Court United Pentacostal church</t>
  </si>
  <si>
    <t>Highway 371</t>
  </si>
  <si>
    <t>Sarepta</t>
  </si>
  <si>
    <t>http://ldh.la.gov/index.cfm/directory/detail/6366/catid/114</t>
  </si>
  <si>
    <t>Sold to County Road Resources</t>
  </si>
  <si>
    <t>Victory Dr</t>
  </si>
  <si>
    <t>Westwego</t>
  </si>
  <si>
    <t>https://www.realliving.com/commercial-for-sale/1001-Victory-Drive-Westwego-LA-70094-207474447</t>
  </si>
  <si>
    <t>Sold to Apostlic church</t>
  </si>
  <si>
    <t>River St</t>
  </si>
  <si>
    <t>Billerica</t>
  </si>
  <si>
    <t>MA</t>
  </si>
  <si>
    <t>01821</t>
  </si>
  <si>
    <t>https://www.redfin.com/MA/Billerica/310-River-St-01821/home/167088284</t>
  </si>
  <si>
    <t>Saint Botolph st</t>
  </si>
  <si>
    <t>Boston</t>
  </si>
  <si>
    <t>02115</t>
  </si>
  <si>
    <t>https://www.richhaen.com/real-estate/136-saint-botolph-st-boston-ma-02115/71130636/692468</t>
  </si>
  <si>
    <t>Originally listed for $2325000- Small Kingdom Hall with apartments</t>
  </si>
  <si>
    <t>Bernardston Rd</t>
  </si>
  <si>
    <t>Greenfield</t>
  </si>
  <si>
    <t>01301</t>
  </si>
  <si>
    <t>https://www.realtytrac.com/property/ma/greenfield/01301/805-bernardston-rd/189224281/</t>
  </si>
  <si>
    <t>Bought by Baptist church- https://www.google.com/maps/place/805+Bernardston+Rd,+Greenfield,+MA+01301/@42.6240895,-72.5753426,3a,75y,99.68h,90t/data=!3m6!1e1!3m4!1swoMpAyX2DvECLoIWnb4NxQ!2e0!7i13312!8i6656!4m5!3m4!1s0x89e125a407f23c57:0xe7b2dea2b66d3722!8m2!3d42.6240005!4d-72.5747244</t>
  </si>
  <si>
    <t>Orleans rd</t>
  </si>
  <si>
    <t>Harwich</t>
  </si>
  <si>
    <t>02645</t>
  </si>
  <si>
    <t>https://www.realtor.com/realestateandhomes-detail/Harwich_MA_02645_M47709-29134</t>
  </si>
  <si>
    <t>Now a chiropractors office</t>
  </si>
  <si>
    <t>Memorial Dr</t>
  </si>
  <si>
    <t xml:space="preserve">Leicester </t>
  </si>
  <si>
    <t>01524</t>
  </si>
  <si>
    <t>https://www.realtor.com/realestateandhomes-detail/4-Memorial-Dr_Leicester_MA_01524_M40393-97768</t>
  </si>
  <si>
    <t>Bought by a church. Up for sale again</t>
  </si>
  <si>
    <t>Furnace st</t>
  </si>
  <si>
    <t>Marshfield</t>
  </si>
  <si>
    <t>02050</t>
  </si>
  <si>
    <t>https://www.realtor.com/realestateandhomes-detail/255-Furnace-St_Marshfield_MA_02050_M49075-43238</t>
  </si>
  <si>
    <t>SOLD to a church</t>
  </si>
  <si>
    <t>Mohawk Trl</t>
  </si>
  <si>
    <t>Shelburne Falls</t>
  </si>
  <si>
    <t>01370</t>
  </si>
  <si>
    <t>https://jbarrettrealty.com/listing/72180933/412-mohawk-trail-shelburne-ma-01370/</t>
  </si>
  <si>
    <t>Worcester St</t>
  </si>
  <si>
    <t>Southbridge</t>
  </si>
  <si>
    <t>01550</t>
  </si>
  <si>
    <t>https://www.coldwellbankerhomes.com/ma/southbridge/700-worcester-st/pid_29702832/</t>
  </si>
  <si>
    <t>Listed for $495,000 on 9-Apr-2019</t>
  </si>
  <si>
    <t>Stuart st</t>
  </si>
  <si>
    <t>01119</t>
  </si>
  <si>
    <t>https://www.realtor.com/realestateandhomes-detail/187-Stuart-St_Springfield_MA_01119_M37900-04846</t>
  </si>
  <si>
    <t>Sold to Pentacostal Church</t>
  </si>
  <si>
    <t>Westfield st</t>
  </si>
  <si>
    <t>West Springfield</t>
  </si>
  <si>
    <t>01089</t>
  </si>
  <si>
    <t>https://www.xome.com/realestate/1984-westfield-st-west-springfield-ma-01089-146829317</t>
  </si>
  <si>
    <t>Greenmount Ave</t>
  </si>
  <si>
    <t>Baltimore</t>
  </si>
  <si>
    <t>MD</t>
  </si>
  <si>
    <t>https://www.longandfoster.com/homes-for-sale/3627-Greenmount-Avenue-Baltimore-MD-21218-254525915</t>
  </si>
  <si>
    <t>Sold to church- Originally listed for $549,900</t>
  </si>
  <si>
    <t>N. Broadway</t>
  </si>
  <si>
    <t>https://www.google.com/maps/place/1107+N+Broadway,+Baltimore,+MD+21213/@39.3033691,-76.5944776,3a,75y,50.06h,86.53t/data=!3m6!1e1!3m4!1swul3QmKHqhZgFPZhgZ4kJQ!2e0!7i13312!8i6656!4m5!3m4!1s0x89c804602d3e9a2d:0x736b6f9233ff5250!8m2!3d39.3034611!4d-76.5941646</t>
  </si>
  <si>
    <t>Sold to Grace Baptist church</t>
  </si>
  <si>
    <t>Governors  ave</t>
  </si>
  <si>
    <t>Cambridge</t>
  </si>
  <si>
    <t>https://www.google.com/maps/place/609+Governors+Ave,+Cambridge,+MD+21613/@38.5553968,-76.0859252,3a,75y,358.57h,90t/data=!3m6!1e1!3m4!1sX_UqaA4D9E97Uvox1uRyKQ!2e0!7i16384!8i8192!4m5!3m4!1s0x89b835f6268972c9:0x273f6bf679608080!8m2!3d38.555471!4d-76.085901</t>
  </si>
  <si>
    <t>Sold to a child day care</t>
  </si>
  <si>
    <t>Seat Pleasant Dr</t>
  </si>
  <si>
    <t>Capitol Heights</t>
  </si>
  <si>
    <t>https://www.coldwellbankerhomes.com/md/capitol-heights/6107-seat-pleasant-drive/pid_24577238/</t>
  </si>
  <si>
    <t>Sold to Grace Cathedral church</t>
  </si>
  <si>
    <t>Powers Ln</t>
  </si>
  <si>
    <t>Catonsville</t>
  </si>
  <si>
    <t>https://www.trulia.com/p/md/catonsville/1928-powers-ln-catonsville-md-21228--2127062052</t>
  </si>
  <si>
    <t>Now is a Mosque</t>
  </si>
  <si>
    <t>Country Club rd NE</t>
  </si>
  <si>
    <t xml:space="preserve">Cumberland </t>
  </si>
  <si>
    <t>https://www.zillow.com/homedetails/10300-Country-Club-Rd-NE-Cumberland-MD-21502/2139458548_zpid/</t>
  </si>
  <si>
    <t>Sold to New Venture Christian church</t>
  </si>
  <si>
    <t>Lyon ave</t>
  </si>
  <si>
    <t>Laurel</t>
  </si>
  <si>
    <t>https://www.coldwellbankerhomes.com/md/laurel/9805-lyon-avenue/pid_20494740/</t>
  </si>
  <si>
    <t>Weyburn rd</t>
  </si>
  <si>
    <t>Rosedale-Baltimore</t>
  </si>
  <si>
    <t>https://www.longandfoster.com/homes-for-sale/1400-Weyburn-Road-Rosedale-MD-21237-253485447</t>
  </si>
  <si>
    <t>Jersey Rd</t>
  </si>
  <si>
    <t>Salisbury</t>
  </si>
  <si>
    <t>https://www.enrichedrealestate.com/7843-JERSEY-RD-SALISBURY-MD-21801/InstitutionalSpecialPurposeBuildings/Religious/Id=188968512&amp;searchId=8368b33e-1f98-4fda-bfa0-ddd3bb4d20d9</t>
  </si>
  <si>
    <t>Exact sale date &amp; price not known. Market value at 2015 used as an estimate. Buyer: North American Islamic Trust Inc</t>
  </si>
  <si>
    <t>Augusta</t>
  </si>
  <si>
    <t>ME</t>
  </si>
  <si>
    <t>04330</t>
  </si>
  <si>
    <t>https://www.google.com/maps/place/36+Eastern+Ave,+Augusta,+ME+04330/@44.3102263,-69.7679309,3a,75y,182.74h,89.44t/data=!3m6!1e1!3m4!1seSxPaREIcupmlD6OOwmNiA!2e0!7i16384!8i8192!4m5!3m4!1s0x4cb20132e62b3ef1:0xdb20a0bf786b7229!8m2!3d44.309959!4d-69.7679645</t>
  </si>
  <si>
    <t>Sold to the Salvation Army</t>
  </si>
  <si>
    <t>Ossipee Trl</t>
  </si>
  <si>
    <t>Limington</t>
  </si>
  <si>
    <t>04049</t>
  </si>
  <si>
    <t>https://www.rizzomattson.com/listing/1343882/157-ossipee-trail-limington-me-04049/</t>
  </si>
  <si>
    <t>Orginally listed for $205,000</t>
  </si>
  <si>
    <t>Malcolm Ave</t>
  </si>
  <si>
    <t xml:space="preserve">Sanford </t>
  </si>
  <si>
    <t>04073</t>
  </si>
  <si>
    <t>https://www.redfin.com/ME/Sanford/21-Malcolm-Ave-04073/home/148419172</t>
  </si>
  <si>
    <t>Addison</t>
  </si>
  <si>
    <t>MI</t>
  </si>
  <si>
    <t>https://www.loopnet.com/Listing/329-E-Main-St-Addison-MI/15916233/</t>
  </si>
  <si>
    <t>In paper for sale. https://www.thedailyreporter.com/news/20190429/addison-jehovahs-witnesses-kingdom-hall-up-for-sale</t>
  </si>
  <si>
    <t>Elm Street</t>
  </si>
  <si>
    <t>Adrian</t>
  </si>
  <si>
    <t xml:space="preserve">No info on current owner or any sales- Kingdom hall has new address in Adrian.  </t>
  </si>
  <si>
    <t>Linwood Ave</t>
  </si>
  <si>
    <t>Alma</t>
  </si>
  <si>
    <t>https://www.coldwellbankerhomes.com/chicago-milwaukee/107-linwood-avenue/pid_24854431/</t>
  </si>
  <si>
    <t>Currently owned by Amazing Blue, Inc.</t>
  </si>
  <si>
    <t>East Dr N</t>
  </si>
  <si>
    <t>Battle Creek</t>
  </si>
  <si>
    <t>https://www.realtytrac.com/property/mi/battle-creek/49014/7085-e-dr-n/218949137/</t>
  </si>
  <si>
    <t xml:space="preserve">Was for sale. NIC 8-11-2019. No info on new owner and no sale info found. </t>
  </si>
  <si>
    <t>Goodale Ave E</t>
  </si>
  <si>
    <t>https://www.realtytrac.com/property/mi/battle-creek/49037/115-goodale-ave-e/218540108/</t>
  </si>
  <si>
    <t>Currently owned by Full Gospel Deliverance Center</t>
  </si>
  <si>
    <t>W River Rd NE</t>
  </si>
  <si>
    <t>Belmont</t>
  </si>
  <si>
    <t>https://mls.carwm.com/listing/30557420/6001-W-River-Dr-NE-Belmont-MI-49306</t>
  </si>
  <si>
    <t xml:space="preserve">SALE PENDING - NO INFO ON WHO PUT THE OFFER IN </t>
  </si>
  <si>
    <t>Rotsel Rd</t>
  </si>
  <si>
    <t>Bloomfield Hills</t>
  </si>
  <si>
    <t>Not sure if a KH. Whole area was leveled and re-mapped to build a shopping centre. See google map overlay.</t>
  </si>
  <si>
    <t>Brutus Rd</t>
  </si>
  <si>
    <t>Brutus</t>
  </si>
  <si>
    <t>No info other than it's currently owned by Friendship Centers of Emmet</t>
  </si>
  <si>
    <t>Chamberlain Rd</t>
  </si>
  <si>
    <t>Buchanan</t>
  </si>
  <si>
    <t>Currently is called Hospice At Home/Caring Circle of Lakeland</t>
  </si>
  <si>
    <t xml:space="preserve">Buchanan </t>
  </si>
  <si>
    <t>Hammond Ave SE</t>
  </si>
  <si>
    <t>Caledonia</t>
  </si>
  <si>
    <t>https://www.zillow.com/homedetails/7033-Hammond-Ave-SE-Caledonia-MI-49316/115825346_zpid/</t>
  </si>
  <si>
    <t>Currently owned by Living Hope Assembly of God</t>
  </si>
  <si>
    <t>Cedar Ave</t>
  </si>
  <si>
    <t>Calumet</t>
  </si>
  <si>
    <t>E Deckerville Rd</t>
  </si>
  <si>
    <t>Caro</t>
  </si>
  <si>
    <t>https://www.redfin.com/MI/Caro/1659-E-Deckerville-Rd-48723/home/102411517</t>
  </si>
  <si>
    <t>I think it may be owned by Caro Apostolic Church of MI</t>
  </si>
  <si>
    <t>Hospital St</t>
  </si>
  <si>
    <t xml:space="preserve">Cassopolis </t>
  </si>
  <si>
    <t>https://www.realtor.com/realestateandhomes-detail/23247-Hospital-St_Cassopolis_MI_49031_M48617-84020</t>
  </si>
  <si>
    <t>E- Drive S</t>
  </si>
  <si>
    <t>Ceresco</t>
  </si>
  <si>
    <t>https://www.homesnap.com/MI/Battle-Creek/7085-East-Drive-N</t>
  </si>
  <si>
    <t>N Chester Rd</t>
  </si>
  <si>
    <t xml:space="preserve">Charlotte </t>
  </si>
  <si>
    <t>Was unable to find any info on sales or current owner</t>
  </si>
  <si>
    <t>Fred W Moore Hwy</t>
  </si>
  <si>
    <t>China</t>
  </si>
  <si>
    <t>https://www.realtytrac.com/property/mi/china/48054/6177-fred-w-moore-hwy/205979170/</t>
  </si>
  <si>
    <t xml:space="preserve">Currently owned by Humane Society of St. Claire County SNAP </t>
  </si>
  <si>
    <t>E Ludington Dr</t>
  </si>
  <si>
    <t>Clare</t>
  </si>
  <si>
    <t>Couldn't find any sales info - Is currently called "Hear Michigan" (hearing aids)</t>
  </si>
  <si>
    <t xml:space="preserve">Jonesville rd </t>
  </si>
  <si>
    <t>Coldwater</t>
  </si>
  <si>
    <t>http://www.remaxcommercial.com/?p=findahome.asp&amp;listing=true&amp;mlsid=3002&amp;mlsnumber=18022703</t>
  </si>
  <si>
    <t xml:space="preserve">Coldwater </t>
  </si>
  <si>
    <t xml:space="preserve">Cannot find any new info - No kingdom hall at this location anymore </t>
  </si>
  <si>
    <t>Boyer rd</t>
  </si>
  <si>
    <t>Coloma</t>
  </si>
  <si>
    <t>https://www.redfin.com/MI/Coloma/3231-Boyer-Rd-49038/home/147603929</t>
  </si>
  <si>
    <t>Originally listed for $228000</t>
  </si>
  <si>
    <t>Kingdom Hall / 1636</t>
  </si>
  <si>
    <t>Hartwick Pines Rd</t>
  </si>
  <si>
    <t xml:space="preserve">Crawford County - Grayling </t>
  </si>
  <si>
    <t>Davison Rd</t>
  </si>
  <si>
    <t>Davison</t>
  </si>
  <si>
    <t>https://www.zillow.com/homedetails/7184-Davison-Rd-Davison-MI-48423/2084814103_zpid/</t>
  </si>
  <si>
    <t>Currently is Point of Grace Apostolic Church</t>
  </si>
  <si>
    <t>Tireman Ave</t>
  </si>
  <si>
    <t>Dearborn</t>
  </si>
  <si>
    <t>https://www.trulia.com/p/mi/dearborn/8805-tireman-ave-dearborn-mi-48126--2050133085</t>
  </si>
  <si>
    <t>Charest St</t>
  </si>
  <si>
    <t>Detroit</t>
  </si>
  <si>
    <t>https://www.realtytrac.com/property/mi/detroit/48212/17950-charest-st/38395166/</t>
  </si>
  <si>
    <t>Currently owned by Greater Apostolic Temple Church</t>
  </si>
  <si>
    <t>Chester Street</t>
  </si>
  <si>
    <t>E 7 Mile Rd</t>
  </si>
  <si>
    <t>https://www.zillow.com/homedetails/11249-E-7-Mile-Rd-Detroit-MI-48234/2134576350_zpid/</t>
  </si>
  <si>
    <t xml:space="preserve">Owned by God's House of Prayer Church </t>
  </si>
  <si>
    <t>E Forest Ave</t>
  </si>
  <si>
    <t>https://www.trulia.com/p/mi/detroit/9300-e-forest-ave-detroit-mi-48214--2099313027</t>
  </si>
  <si>
    <t>Fenkell St</t>
  </si>
  <si>
    <t xml:space="preserve">Bought by Northwestern Community Baptist Church </t>
  </si>
  <si>
    <t>Fernwood St</t>
  </si>
  <si>
    <t>https://www.zillow.com/homedetails/4900-Fernwood-St-Detroit-MI-48204/2086244458_zpid/</t>
  </si>
  <si>
    <t>John R St</t>
  </si>
  <si>
    <t>Currently is Word of Truth Assembly</t>
  </si>
  <si>
    <t>Kercheval St</t>
  </si>
  <si>
    <t xml:space="preserve">Currently owned by Judah Temple of Christ </t>
  </si>
  <si>
    <t>Plymouth Rd</t>
  </si>
  <si>
    <t xml:space="preserve">Owned by Peace For All Ministries </t>
  </si>
  <si>
    <t>Puritan St</t>
  </si>
  <si>
    <t>https://www.zillow.com/homedetails/14100-Puritan-St-Detroit-MI-48227/2082922712_zpid/</t>
  </si>
  <si>
    <t>Roosevelt St</t>
  </si>
  <si>
    <t>https://www.zillow.com/homedetails/5220-Roosevelt-St-Detroit-MI-48208/121179247_zpid/</t>
  </si>
  <si>
    <t>16th St</t>
  </si>
  <si>
    <t xml:space="preserve">Detroit </t>
  </si>
  <si>
    <t>https://www.zillow.com/homedetails/5933-16th-St-Detroit-MI-48208/96307523_zpid/</t>
  </si>
  <si>
    <t xml:space="preserve">Currently listed as Victory Baptist Church International </t>
  </si>
  <si>
    <t>E Canfield St</t>
  </si>
  <si>
    <t>https://www.realtytrac.com/property/mi/detroit/48215/12601-e-canfield-st/153982198/</t>
  </si>
  <si>
    <t xml:space="preserve">Currently owned by Dominion Adult Day Care &amp; Therapeutic Clinic </t>
  </si>
  <si>
    <t>https://www.realtytrac.com/property/mi/detroit/48238/10700-puritan-st/172533943/</t>
  </si>
  <si>
    <t>Owned by Saint Galilee Missionary Baptist Church</t>
  </si>
  <si>
    <t>E. Lansing Rd</t>
  </si>
  <si>
    <t>Durand</t>
  </si>
  <si>
    <t>https://www.xome.com/commercial-for-sale/9754-Lansing-Durand-MI-48429-303853656</t>
  </si>
  <si>
    <t>Holmes Hwy</t>
  </si>
  <si>
    <t>Eaton Rapids</t>
  </si>
  <si>
    <t>https://www.realtor.com/realestateandhomes-detail/8972-Holmes-Hwy_Eaton-Rapids_MI_48827_M44418-63187</t>
  </si>
  <si>
    <t>Leonard Street</t>
  </si>
  <si>
    <t xml:space="preserve">Flat Rock </t>
  </si>
  <si>
    <t>https://www.zillow.com/homedetails/26170-Leonard-St-Flat-Rock-MI-48134/88185185_zpid/</t>
  </si>
  <si>
    <t>Sold to New Hope Lutheran Church</t>
  </si>
  <si>
    <t>Bray Rd</t>
  </si>
  <si>
    <t>Flint</t>
  </si>
  <si>
    <t>https://www.realtor.com/realestateandhomes-detail/5149-Bray-Rd_Flint_MI_48505_M47044-03649</t>
  </si>
  <si>
    <t>Sold to New Life Tabernacle Ministries</t>
  </si>
  <si>
    <t>Fenton Rd</t>
  </si>
  <si>
    <t xml:space="preserve">unknown </t>
  </si>
  <si>
    <t>Lapeer Rd</t>
  </si>
  <si>
    <t>N Mckinley Rd</t>
  </si>
  <si>
    <t>Flushung</t>
  </si>
  <si>
    <t>Currently listed as "5 Fold Ministry Christian"</t>
  </si>
  <si>
    <t>W 72nd St</t>
  </si>
  <si>
    <t>Fremont</t>
  </si>
  <si>
    <t>https://www.coldwellbankerhomes.com/mi/fremont/4040-w-72nd-street/pid_3342803/</t>
  </si>
  <si>
    <t>Robbins Rd</t>
  </si>
  <si>
    <t xml:space="preserve">Grand Haven </t>
  </si>
  <si>
    <t xml:space="preserve">currently is Weather Vane Roofing </t>
  </si>
  <si>
    <t>Benton</t>
  </si>
  <si>
    <t>Grand Ledge</t>
  </si>
  <si>
    <t>https://dmartin.remax-michigan.com/ListingDetails/13130-Benton-Grand-Ledge-MI-48837/235345</t>
  </si>
  <si>
    <t>36th St SE</t>
  </si>
  <si>
    <t xml:space="preserve">Grand Rapids </t>
  </si>
  <si>
    <t xml:space="preserve">Unknown - possibly public school </t>
  </si>
  <si>
    <t>Fruit Ridge Ave NW</t>
  </si>
  <si>
    <t>https://www.realtor.com/realestateandhomes-detail/4453-Fruit-Ridge-Ave-NW_Grand-Rapids_MI_49544_M32731-78105</t>
  </si>
  <si>
    <t xml:space="preserve">The Ridge Covenenant Church </t>
  </si>
  <si>
    <t>Mckee Ave SW</t>
  </si>
  <si>
    <t>https://www.zillow.com/homedetails/2306-Mckee-Ave-SW-Grand-Rapids-MI-49503/23835024_zpid/</t>
  </si>
  <si>
    <t>Tamarack Ave NW</t>
  </si>
  <si>
    <t xml:space="preserve">unknown - residential </t>
  </si>
  <si>
    <t>Hartwick Pines rd</t>
  </si>
  <si>
    <t>Grayling</t>
  </si>
  <si>
    <t>http://www.remaxcommercial.com/?p=findahome.asp&amp;listing=true&amp;mlsid=3126&amp;mlsnumber=201805187</t>
  </si>
  <si>
    <t>W M 72 Hwy</t>
  </si>
  <si>
    <t xml:space="preserve">Grayling </t>
  </si>
  <si>
    <t xml:space="preserve">Tipp of the Mitt Orthodontics </t>
  </si>
  <si>
    <t xml:space="preserve">W Carson City Rd </t>
  </si>
  <si>
    <t xml:space="preserve">Greenville </t>
  </si>
  <si>
    <t xml:space="preserve">JES Professional Services </t>
  </si>
  <si>
    <t>Graves  rd</t>
  </si>
  <si>
    <t>Gregory</t>
  </si>
  <si>
    <t>https://www.howardhanna.com/Property/Detail/15800-Graves-Gregory-MI-48137/DetroitMI/2200013408</t>
  </si>
  <si>
    <t>N. M-65</t>
  </si>
  <si>
    <t xml:space="preserve">Hale </t>
  </si>
  <si>
    <t>https://www.xome.com/commercial-for-sale/4093-N-M-65-Hale-MI-48739-303008156</t>
  </si>
  <si>
    <t>E. Clarence rd</t>
  </si>
  <si>
    <t>Harrison</t>
  </si>
  <si>
    <t>https://www.coldwellbankerhomes.com/mi/harrison/951-e-clarence-rd/pid_32707446/</t>
  </si>
  <si>
    <t>Originally listed for $57,900</t>
  </si>
  <si>
    <t>John Daly st</t>
  </si>
  <si>
    <t>Inkster</t>
  </si>
  <si>
    <t>https://www.xome.com/commercial-for-sale/3041-John-Daly-St-Inkster-MI-48141-303853324</t>
  </si>
  <si>
    <t>S Davis Rd</t>
  </si>
  <si>
    <t>Ironwood</t>
  </si>
  <si>
    <t xml:space="preserve">Cannot find any info regarding the sale or new ownership </t>
  </si>
  <si>
    <t>Douglas Ave</t>
  </si>
  <si>
    <t>Kalamazoo</t>
  </si>
  <si>
    <t>https://www.realtor.com/realestateandhomes-detail/3530-Douglas-Ave_Kalamazoo_MI_49004_M33708-94478</t>
  </si>
  <si>
    <t>Currently Grace Valley (nursing home)</t>
  </si>
  <si>
    <t>Nazareth Rd</t>
  </si>
  <si>
    <t>https://www.realtor.com/realestateandhomes-detail/4200-Nazareth-Rd_Kalamazoo_MI_49004_M43346-06275</t>
  </si>
  <si>
    <t>Pyle Dr</t>
  </si>
  <si>
    <t>Kingsford</t>
  </si>
  <si>
    <t>Not able to find any info on current owner</t>
  </si>
  <si>
    <t>S French Rd</t>
  </si>
  <si>
    <t xml:space="preserve">Lake Leelanau </t>
  </si>
  <si>
    <t>https://www.realtor.com/realestateandhomes-detail/56-S-French-Rd_Lake-Leelanau_MI_49653_M35253-50439</t>
  </si>
  <si>
    <t>Currently listed as Laurentide Winery</t>
  </si>
  <si>
    <t>Townline Rd</t>
  </si>
  <si>
    <t>Lakeview</t>
  </si>
  <si>
    <t>https://www.trulia.com/p/mi/lakeview/7450-townline-rd-lakeview-mi-48850--2051772146</t>
  </si>
  <si>
    <t xml:space="preserve">After being sold in 2005, it has been used as a single family residence. </t>
  </si>
  <si>
    <t>Daley Rd</t>
  </si>
  <si>
    <t>Lapeer</t>
  </si>
  <si>
    <t>Currently owned by Daley Rd Animal Care</t>
  </si>
  <si>
    <t>Churchill Rd</t>
  </si>
  <si>
    <t>Leslie</t>
  </si>
  <si>
    <t>https://www.realtor.com/realestateandhomes-detail/5290-Churchill-Rd_Leslie_MI_49251_M30450-46764</t>
  </si>
  <si>
    <t>Alden Nash Ave SE</t>
  </si>
  <si>
    <t>Lowell</t>
  </si>
  <si>
    <t xml:space="preserve">Cannot find any info - It looks like this is just a vacant lot/land </t>
  </si>
  <si>
    <t>Lincoln Lake Ave NE</t>
  </si>
  <si>
    <t>https://www.google.com/maps/@42.9662047,-85.3558645,3a,37.5y,319.61h,93.96t/data=!3m6!1e1!3m4!1sAolOrPAUV-BPD6KFEzEEyA!2e0!7i16384!8i8192</t>
  </si>
  <si>
    <t>Sold to the Vergennes Township office</t>
  </si>
  <si>
    <t>4th Street</t>
  </si>
  <si>
    <t>Manistee</t>
  </si>
  <si>
    <t>https://www.trulia.com/p/mi/manistee/331-4th-st-manistee-mi-49660--2052588656</t>
  </si>
  <si>
    <t xml:space="preserve">Currently owned by Hyza Chiropractic </t>
  </si>
  <si>
    <t>Homer rd</t>
  </si>
  <si>
    <t>Marshall</t>
  </si>
  <si>
    <t>https://www.coldwellbankerhomes.com/mi/marshall/508-homer-rd/pid_29786247/</t>
  </si>
  <si>
    <t>W Taylor Rd</t>
  </si>
  <si>
    <t xml:space="preserve">Mears </t>
  </si>
  <si>
    <t>https://www.realtor.com/realestateandhomes-detail/5358-W-Taylor-Rd_Mears_MI_49436_M30014-59734</t>
  </si>
  <si>
    <t>Sold and used as single family residence/lot - no other info found</t>
  </si>
  <si>
    <t>10th street</t>
  </si>
  <si>
    <t>Menominee</t>
  </si>
  <si>
    <t>https://www.google.com/maps/@45.1404755,-87.6116699,3a,75y,201.5h,88.69t/data=!3m7!1e1!3m5!1smArKDck4BzDsnmzBjfTTdA!2e0!6s%2F%2Fgeo1.ggpht.com%2Fcbk%3Fpanoid%3DmArKDck4BzDsnmzBjfTTdA%26output%3Dthumbnail%26cb_client%3Dmaps_sv.tactile.gps%26thumb%3D2%26w%3D203%26h%3D100%26yaw%3D170.05241%26pitch%3D0%26thumbfov%3D100!7i3328!8i1664</t>
  </si>
  <si>
    <t>It sold awhile ago but it is now the Family Foot Clinic</t>
  </si>
  <si>
    <t>E Lewis Ave</t>
  </si>
  <si>
    <t>Milan</t>
  </si>
  <si>
    <t>https://www.realtor.com/realestateandhomes-detail/338-E-Lewis-Ave_Milan_MI_48160_M44624-24635</t>
  </si>
  <si>
    <t>Currently owned by H&amp;R Block</t>
  </si>
  <si>
    <t>N Mount Tom Rd</t>
  </si>
  <si>
    <t>Mio</t>
  </si>
  <si>
    <t xml:space="preserve">Currently owned by Freedom Worship Center </t>
  </si>
  <si>
    <t>S Raisinville Rd</t>
  </si>
  <si>
    <t>Monroe</t>
  </si>
  <si>
    <t xml:space="preserve">Currently owned by Montessori School </t>
  </si>
  <si>
    <t>Morenci Rd</t>
  </si>
  <si>
    <t>Morenci</t>
  </si>
  <si>
    <t>https://www.zillow.com/homedetails/13000-Morenci-Rd-Morenci-MI-49256/68218421_zpid/</t>
  </si>
  <si>
    <t>E Apple Ave</t>
  </si>
  <si>
    <t>Muskegon</t>
  </si>
  <si>
    <t>https://www.coldwellbankerhomes.com/mi/muskegon/3086-e-apple-ave/pid_34742357/</t>
  </si>
  <si>
    <t>Whitehall Rd</t>
  </si>
  <si>
    <t>https://www.realtor.com/realestateandhomes-detail/2875-Whitehall-Rd_Muskegon_MI_49445_M99568-74602?cid=psr_profile_listings_lat_lng</t>
  </si>
  <si>
    <t>KH building has now been demolished as at 31-May-2019</t>
  </si>
  <si>
    <t>Lake road</t>
  </si>
  <si>
    <t>Otisville</t>
  </si>
  <si>
    <t>https://www.howardhanna.com/Property/Detail/10074-Lake-Road-Forest-Township-MI-48463/DetroitMI/219025717</t>
  </si>
  <si>
    <t>N State Rd</t>
  </si>
  <si>
    <t>Currently owned by Red Dragon Hobbies Inc</t>
  </si>
  <si>
    <t>County Rd 358</t>
  </si>
  <si>
    <t>Paw Paw</t>
  </si>
  <si>
    <t>https://www.zillow.com/homedetails/36023-County-Road-358-Paw-Paw-MI-49079/74819762_zpid/</t>
  </si>
  <si>
    <t>Currently a single family home/lot</t>
  </si>
  <si>
    <t>Britton Rd</t>
  </si>
  <si>
    <t>https://www.weichert.com/61778209/</t>
  </si>
  <si>
    <t>Owned by Perry Physical Therapy</t>
  </si>
  <si>
    <t>S M-52</t>
  </si>
  <si>
    <t>Perry Twp</t>
  </si>
  <si>
    <t>https://www.xome.com/commercial-for-sale/14392-S-M-52-Perry-Twp-MI-48872-267824243</t>
  </si>
  <si>
    <t>N. Water St</t>
  </si>
  <si>
    <t>Pinconning</t>
  </si>
  <si>
    <t>https://www.xome.com/commercial-for-sale/317-N-Water-Street-Pinconning-MI-48650-310042037</t>
  </si>
  <si>
    <t>Nantucket Rd</t>
  </si>
  <si>
    <t>https://www.realtor.com/realestateandhomes-detail/1670-Nantucket-Rd_Plymouth_MI_48170_M48322-93303</t>
  </si>
  <si>
    <t>Currently listed as a single family home</t>
  </si>
  <si>
    <t>30th Ave</t>
  </si>
  <si>
    <t>Remus</t>
  </si>
  <si>
    <t>https://www.xome.com/realestate/14550-30th-ave-remus-mi-49340-60797899</t>
  </si>
  <si>
    <t>Ray St</t>
  </si>
  <si>
    <t xml:space="preserve">Riverview </t>
  </si>
  <si>
    <t>https://www.realtytrac.com/property/mi/riverview/48193/18637-ray-st/38468884/</t>
  </si>
  <si>
    <t xml:space="preserve">Currently listed as Blue Army Marian Center </t>
  </si>
  <si>
    <t>W Oakland Trl</t>
  </si>
  <si>
    <t>Roscommon</t>
  </si>
  <si>
    <t>Frazho rd</t>
  </si>
  <si>
    <t>Roseville</t>
  </si>
  <si>
    <t>https://www.howardhanna.com/Property/Detail/16675-Frazho-Road-Roseville-MI-48066/DetroitMISold/219014653</t>
  </si>
  <si>
    <t>Webber St</t>
  </si>
  <si>
    <t>Saginaw</t>
  </si>
  <si>
    <t xml:space="preserve">Currently owned by Made In His Image Church </t>
  </si>
  <si>
    <t>S Outer Dr</t>
  </si>
  <si>
    <t xml:space="preserve">Saginaw </t>
  </si>
  <si>
    <t>https://www.realtytrac.com/property/mi/saginaw/48601/2211-s-outer-dr/172327685/</t>
  </si>
  <si>
    <t xml:space="preserve">Owned by Glimpse of Hope Ministries </t>
  </si>
  <si>
    <t>Fergus rd</t>
  </si>
  <si>
    <t xml:space="preserve">Saint Charles </t>
  </si>
  <si>
    <t>https://www.realtor.com/realestateandhomes-detail/11750-Fergus-Rd_Saint-Charles_MI_48655_M95092-03610</t>
  </si>
  <si>
    <t xml:space="preserve">N4077 </t>
  </si>
  <si>
    <t>Mackinac Trl</t>
  </si>
  <si>
    <t>Saint Ignes</t>
  </si>
  <si>
    <t>https://homefinder.com/home/qqZw0Er/N4077-Mackinac-Trl-Saint-Ignace-MI-49781</t>
  </si>
  <si>
    <t>E 3 Mile Road</t>
  </si>
  <si>
    <t>Sault Ste Marie</t>
  </si>
  <si>
    <t>Reeck Rd</t>
  </si>
  <si>
    <t>Southgate</t>
  </si>
  <si>
    <t>https://www.howardhanna.com/Property/Detail/11355-Reeck-Road-Southgate-MI-48195/DetroitMISold/218120091</t>
  </si>
  <si>
    <t>Indian Lakes Rd NE</t>
  </si>
  <si>
    <t>Sparta</t>
  </si>
  <si>
    <t>https://www.zillow.com/homedetails/1480-Indian-Lakes-Rd-NE-Sparta-MI-49345/2091476995_zpid/</t>
  </si>
  <si>
    <t>Sold in 2005, had since been sold after new ownership</t>
  </si>
  <si>
    <t>N Melita Rd</t>
  </si>
  <si>
    <t>Sterling</t>
  </si>
  <si>
    <t>https://www.zillow.com/homedetails/255-S-Melita-Rd-Sterling-MI-48659/2087969175_zpid/</t>
  </si>
  <si>
    <t>Metropolitan Pkwy</t>
  </si>
  <si>
    <t>Sterling Heights</t>
  </si>
  <si>
    <t>https://www.remax.com/mi/sterling-heights/home-details/13399-metropolitan-pkwy-sterling-heights-mi-48312/4377730130093516909</t>
  </si>
  <si>
    <t xml:space="preserve">Looks like it was bought as a single family residence. </t>
  </si>
  <si>
    <t>Broadway Rd</t>
  </si>
  <si>
    <t>Three Rivers</t>
  </si>
  <si>
    <t>https://www.xome.com/realestate/13108-broadway-rd-three-rivers-mi-49093-62478171</t>
  </si>
  <si>
    <t xml:space="preserve">Sold to Fabius Township Hall </t>
  </si>
  <si>
    <t>Old 27 Hwy N</t>
  </si>
  <si>
    <t>Vanderbilt</t>
  </si>
  <si>
    <t>https://www.xome.com/commercial-for-sale/11829-Old-27-Vanderbilt-MI-49795-327607671</t>
  </si>
  <si>
    <t>S. 24th st</t>
  </si>
  <si>
    <t>Vicksburg</t>
  </si>
  <si>
    <t>https://www.coldwellbankerhomes.com/mi/vicksburg/15029-s-24th-st/pid_29970639/</t>
  </si>
  <si>
    <t>Orignially listed for $139,900</t>
  </si>
  <si>
    <t>Silver Street</t>
  </si>
  <si>
    <t>S Campbell Rd</t>
  </si>
  <si>
    <t>West Branch</t>
  </si>
  <si>
    <t>https://www.coldwellbankerhomes.com/chicago-milwaukee/690-s-campbell-road/pid_5995060/</t>
  </si>
  <si>
    <t xml:space="preserve">Now owned by Fresh Start Ministries </t>
  </si>
  <si>
    <t>Eugene St</t>
  </si>
  <si>
    <t>Ypsilanti</t>
  </si>
  <si>
    <t>https://www.zillow.com/homedetails/501-Eugene-St-Ypsilanti-MI-48198/80873345_zpid/</t>
  </si>
  <si>
    <t>Currently owned by "Spiritual Israel"</t>
  </si>
  <si>
    <t>River Rd NW</t>
  </si>
  <si>
    <t>East Grand Forks</t>
  </si>
  <si>
    <t>MN</t>
  </si>
  <si>
    <t>https://www.grandforksherald.com/news/2060663-jehovahs-witnesses-building-sale</t>
  </si>
  <si>
    <t>I cannot find if it sold or not</t>
  </si>
  <si>
    <t>Park Ave NW</t>
  </si>
  <si>
    <t>Faribault</t>
  </si>
  <si>
    <t>https://www.redfin.com/MN/Faribault/2618-Park-Ave-NW-55021/home/100208608</t>
  </si>
  <si>
    <t>Douglas Dr. N.</t>
  </si>
  <si>
    <t>Golden Valley</t>
  </si>
  <si>
    <t>http://www16.co.hennepin.mn.us/pins/addrresult.jsp</t>
  </si>
  <si>
    <t>They remodeled a couple years before selling, of course. It can be seen on google maps, because they re-did the parking lot. Th building was designed by a student of Frank Lloyd Wright from what I have heard. The Hennepin county tax website only had month and year, so I put the date of sale as the 1st.  I see you only have two from MN on your spreadsheet, I have at least one more from Onamia MN to add. Maybe more once I drag out my old computer to look. Thank you so much and I hope I gave enough information!</t>
  </si>
  <si>
    <t>Kouwe St NW cnr 4th Ave NW</t>
  </si>
  <si>
    <t>Hutchinson</t>
  </si>
  <si>
    <t>Buyer: Kidz Junction; On Kimmy's list</t>
  </si>
  <si>
    <t>Farm Rd 1095</t>
  </si>
  <si>
    <t>Cassville</t>
  </si>
  <si>
    <t>MO</t>
  </si>
  <si>
    <t>https://www.charliegerken.com/listings/view/15037-farm-road-cassville-mo-60142970.html</t>
  </si>
  <si>
    <t>Original Listing: $235,000; 11-Aug-2019</t>
  </si>
  <si>
    <t>Magnolia Pl</t>
  </si>
  <si>
    <t>Jefferson City</t>
  </si>
  <si>
    <t>https://www.officespace.com/mo/jefferson-city/1771636-821-magnolia-pl</t>
  </si>
  <si>
    <t>Buyer: Familia Cristiana Internacional</t>
  </si>
  <si>
    <t>Baxter Rd</t>
  </si>
  <si>
    <t>https://www.coldwellbankerhomes.com/mo/manchester/115-baxter-rd/pid_29854967/</t>
  </si>
  <si>
    <t>Listed for $775,000 on 17-Apr-2019</t>
  </si>
  <si>
    <t>Veteran Dr</t>
  </si>
  <si>
    <t xml:space="preserve">Columbia Falls </t>
  </si>
  <si>
    <t>MT</t>
  </si>
  <si>
    <t xml:space="preserve">Was a kingdom hall in 1996. Is now Columbia Bible Baptist Church. </t>
  </si>
  <si>
    <t>Hwy 178 East</t>
  </si>
  <si>
    <t>New Albany</t>
  </si>
  <si>
    <t>MS</t>
  </si>
  <si>
    <t>https://www.crye-leike.com/1303-hwy-178-east/new%20albany/ms/38652/tid-tupelo-mlsnum-19-2798</t>
  </si>
  <si>
    <t>Smelter Ave NW</t>
  </si>
  <si>
    <t>Great Falls</t>
  </si>
  <si>
    <t>https://www.loopnet.com/Listing/926-Smelter-Ave-NW-Great-Falls-MT/18182941/</t>
  </si>
  <si>
    <t>Hwy 93</t>
  </si>
  <si>
    <t>St Ignatius</t>
  </si>
  <si>
    <t>https://www.realliving.com/greater-montana/commercial-for-sale/address-not-available-Saint-Ignatius-MT-59865-282245487</t>
  </si>
  <si>
    <t>Listed for $250,000 on 10-Oct-2019. https://www.missionvalleyproperties.com/-/listing/MT-NWMAR/21916926/Saint-Ignatius-MT-59865?display_page=3&amp;index=2&amp;lpp=20&amp;total_listings=57&amp;ss_id=5308267&amp;from=saved_search</t>
  </si>
  <si>
    <t>Liberty Rd</t>
  </si>
  <si>
    <t>Archdale</t>
  </si>
  <si>
    <t>NC</t>
  </si>
  <si>
    <t>https://www.realtor.com/realestateandhomes-detail/635-Liberty-Rd_High-Point_NC_27263_M53508-00554</t>
  </si>
  <si>
    <t>Old Apex Rd</t>
  </si>
  <si>
    <t>Carey</t>
  </si>
  <si>
    <t>High Point</t>
  </si>
  <si>
    <t>https://www.zillow.com/homedetails/635-Liberty-Rd-High-Point-NC-27263/2085408070_zpid/</t>
  </si>
  <si>
    <t>McCoy Rd</t>
  </si>
  <si>
    <t>Reidsville</t>
  </si>
  <si>
    <t>https://www.loopnet.com/Listing/116-McCoy-Rd-Reidsville-NC/18800162/</t>
  </si>
  <si>
    <t>Sherwood Ave</t>
  </si>
  <si>
    <t>Tarboro</t>
  </si>
  <si>
    <t>https://www.loopnet.com/Listing/16878634/2237-Sherwood-Avenue-Tarboro-NC/</t>
  </si>
  <si>
    <t>Arroyo Seco</t>
  </si>
  <si>
    <t>NM</t>
  </si>
  <si>
    <t>Main St</t>
  </si>
  <si>
    <t>Bradley Beach</t>
  </si>
  <si>
    <t>NJ</t>
  </si>
  <si>
    <t>07720</t>
  </si>
  <si>
    <t>https://www.coldwellbankerhomes.com/nj/bradley-beach/28-main-st/pid_35800439/</t>
  </si>
  <si>
    <t>Ferry Rd</t>
  </si>
  <si>
    <t>Delaware Township, Flemington</t>
  </si>
  <si>
    <t>08822</t>
  </si>
  <si>
    <t>https://www.coldwellbankerhomes.com/nj/delaware-township/160-ferry-rd/pid_29911232/</t>
  </si>
  <si>
    <t>Listed Price: $339,000</t>
  </si>
  <si>
    <t>Darmstadt</t>
  </si>
  <si>
    <t>Egg Harbor</t>
  </si>
  <si>
    <t>08215</t>
  </si>
  <si>
    <t>https://www.realtor.com/realestateandhomes-detail/416-Darmstadt-Ave_Egg-Harbor-City_NJ_08215_M99773-52249</t>
  </si>
  <si>
    <t>Bought by Pentacostal church- Up for sale again for $175,000</t>
  </si>
  <si>
    <t>Martin Luther King Dr</t>
  </si>
  <si>
    <t>Jersey City</t>
  </si>
  <si>
    <t>07305</t>
  </si>
  <si>
    <t>https://www.realtytrac.com/property/nj/jersey-city/07305/116-martin-luther-king-jr-dr/201889244/</t>
  </si>
  <si>
    <t xml:space="preserve">buyer : Philadelphia Missionary Baptist Church </t>
  </si>
  <si>
    <t>South St</t>
  </si>
  <si>
    <t>07307</t>
  </si>
  <si>
    <t>https://www.yelp.com/biz/jehovahs-witness-north-congregation-jersey-city</t>
  </si>
  <si>
    <t>Sold to The Living Church. Original address record entered as 555 Palisade Ave, Jersey City, NJ 07307</t>
  </si>
  <si>
    <t>Rocktown Lambertville rd</t>
  </si>
  <si>
    <t>Lambertville</t>
  </si>
  <si>
    <t>08530</t>
  </si>
  <si>
    <t>Bought by Baptist church</t>
  </si>
  <si>
    <t>Taylor Ave</t>
  </si>
  <si>
    <t>Mantua</t>
  </si>
  <si>
    <t>08051</t>
  </si>
  <si>
    <t>https://www.coldwellbankerhomes.com/nj/mantua/212-taylor-avenue/pid_20597542/</t>
  </si>
  <si>
    <t>Jacksonville rd</t>
  </si>
  <si>
    <t>Mt Holly</t>
  </si>
  <si>
    <t>08505</t>
  </si>
  <si>
    <t>https://www.coldwellbankerhomes.com/nj/burlington/821-jacksonville-mt-holly-road/pid_24684647/</t>
  </si>
  <si>
    <t>French st</t>
  </si>
  <si>
    <t>08901</t>
  </si>
  <si>
    <t>https://www.coldwellbankerhomes.com/nj/new-brunswick/121-french-st/pid_21774376/</t>
  </si>
  <si>
    <t>Personette Ave</t>
  </si>
  <si>
    <t>Verona</t>
  </si>
  <si>
    <t>07044</t>
  </si>
  <si>
    <t>https://www.coldwellbankerhomes.com/nj/verona/42-personette-avenue/pid_22642608/</t>
  </si>
  <si>
    <t>2nd St NW</t>
  </si>
  <si>
    <t>Albuquerque</t>
  </si>
  <si>
    <t>https://www.loopnet.com/Listing/16107071/8812-2nd-Street-SW-Albuquerque-NM/</t>
  </si>
  <si>
    <t>Bought by Horseman's Feed supply</t>
  </si>
  <si>
    <t>57th St NW</t>
  </si>
  <si>
    <t>https://www.realtytrac.com/property/nm/albuquerque/87105/1700-57th-st-nw/192939590/</t>
  </si>
  <si>
    <t>Sold to Grace Covenant Church</t>
  </si>
  <si>
    <t>Canal St</t>
  </si>
  <si>
    <t>Carlsbad</t>
  </si>
  <si>
    <t>S. Guadalupe st</t>
  </si>
  <si>
    <t>https://www.weichert.com/62823521/</t>
  </si>
  <si>
    <t>Bought by First Christian Church</t>
  </si>
  <si>
    <t>W. 30th st</t>
  </si>
  <si>
    <t>Farmington</t>
  </si>
  <si>
    <t>https://www.google.com/maps/uv?hl=en&amp;pb=!1s0x873b8fc790984575%3A0x920bd7081dfe79c8!3m1!7e115!4shttps%3A%2F%2Flh5.googleusercontent.com%2Fp%2FAF1QipOgtEhaG4fxfb9EiSxRJM15NHvQzulWjEiXYvRu%3Dw173-h175-n-k-no!5s800%20w.%2030th%20st%20farmington%20nm%20for%20sale%20-%20Google%20Search!15sCAQ&amp;imagekey=!1e10!2sAF1QipOgtEhaG4fxfb9EiSxRJM15NHvQzulWjEiXYvRu</t>
  </si>
  <si>
    <t>Bought by Namaste Assisted Living</t>
  </si>
  <si>
    <t>Unser Blvd NE</t>
  </si>
  <si>
    <t>Rio Rancho</t>
  </si>
  <si>
    <t>https://www.zillow.com/homedetails/312-Unser-Blvd-NE-Rio-Rancho-NM-87124/113481165_zpid/</t>
  </si>
  <si>
    <t>Sale price &amp; date not available. Used stated listing price on Kimmy's list as an estimate.</t>
  </si>
  <si>
    <t>W. Bland st</t>
  </si>
  <si>
    <t>Roswell</t>
  </si>
  <si>
    <t>https://www.zillow.com/homedetails/1800-W-Bland-St-Roswell-NM-88203/2099041134_zpid/</t>
  </si>
  <si>
    <t>Bought by New Life Church of Roswell</t>
  </si>
  <si>
    <t>Alpine Village rd</t>
  </si>
  <si>
    <t>Ruidoso</t>
  </si>
  <si>
    <t>https://www.realtor.com/realestateandhomes-detail/106-Alpine-Village-Rd_Ruidoso_NM_88345_M28634-44694</t>
  </si>
  <si>
    <t>Now is Alpha Omega Chiropractic</t>
  </si>
  <si>
    <t>W. San Mateo rd</t>
  </si>
  <si>
    <t>Santa Fe</t>
  </si>
  <si>
    <t>https://www.trulia.com/p/nm/santa-fe/418-w-san-mateo-rd-santa-fe-nm-87505--2115163111</t>
  </si>
  <si>
    <t>Now the Mosque of Al Rahma</t>
  </si>
  <si>
    <t>Schurz Hwy</t>
  </si>
  <si>
    <t>Fallon</t>
  </si>
  <si>
    <t>NV</t>
  </si>
  <si>
    <t>https://www.realtytrac.com/property/nv/fallon/89406/2705-schurz-hwy/34800119/</t>
  </si>
  <si>
    <t>Bought by the "Gospel Light Baptist" church</t>
  </si>
  <si>
    <t>Spokane Street</t>
  </si>
  <si>
    <t>Reno</t>
  </si>
  <si>
    <t>https://www.washoecounty.us/assessor/cama/?parid=008-193-10&amp;Card=1</t>
  </si>
  <si>
    <t>https://icris.washoecounty.us/ssrecorder/web/integration/document?DocumentNumberId=4070837 
-(The seller/JW name is- SIERRA VISTA CONGREGATION OF JEHOVAHS WITNESSES) (the buyer is ASSEMBLIES OF GOD NORTHERN CALIFORNIA &amp; NEVADA DISTRICT COUNCIL INC)
-According to this site, it sold for $175,000 in 2011
https://www.zillow.com/homedetails/601-Spokane-St-Reno-NV-89512/184513624_zpid/</t>
  </si>
  <si>
    <t>Bayview ave</t>
  </si>
  <si>
    <t>Amityville</t>
  </si>
  <si>
    <t>NY</t>
  </si>
  <si>
    <t>https://www.realtytrac.com/property/ny/amityville/11701/450-bayview-ave/170767165/</t>
  </si>
  <si>
    <t>Sold to Christian Life Center church</t>
  </si>
  <si>
    <t>Leland ave</t>
  </si>
  <si>
    <t>Bronx</t>
  </si>
  <si>
    <t>https://www.propertyshark.com/mason/Property/67379/625-Leland-Ave-Bronx-NY-10473/</t>
  </si>
  <si>
    <t>Sold to Church of Jesus Christ Apostolic of NY</t>
  </si>
  <si>
    <t>Monroe Ave</t>
  </si>
  <si>
    <t>https://www.realtytrac.com/property/ny/bronx/10457/1820-monroe-ave/168601812/</t>
  </si>
  <si>
    <t>Adams St</t>
  </si>
  <si>
    <t>Brooklyn</t>
  </si>
  <si>
    <t>https://jwleaks.files.wordpress.com/2019/01/watchtower-brooklyn-real-estate-transfers-2004-2018.pdf</t>
  </si>
  <si>
    <t>Buyer: 69 Adams LLC; Assessed Value: $3,793,050</t>
  </si>
  <si>
    <t>Buyer: 80 Adams Property Owner LLC; Assessed Value: $1,077,300</t>
  </si>
  <si>
    <t>Buyer: 55 Prospect Owner LLC; Assessed Value: $5,673,773</t>
  </si>
  <si>
    <t>Bergen st</t>
  </si>
  <si>
    <t>https://www.realtytrac.com/property/ny/brooklyn/11213/1666-bergen-st/168059084/</t>
  </si>
  <si>
    <t>Sold to Advent Fellowship</t>
  </si>
  <si>
    <t>Clark St</t>
  </si>
  <si>
    <t>Buyer: 21 Clark Street Property Owner LLC; Assessed Value: $27,166,050</t>
  </si>
  <si>
    <t>8-10</t>
  </si>
  <si>
    <t>GC Clark LLC; Assessed Value: $594,000</t>
  </si>
  <si>
    <t>Columbia Heights</t>
  </si>
  <si>
    <t>Includes: 67 Furman St, 51 Furman St, Lot 12 Columbia Heights; Buyer: 25-30 Columbia Heights (Brooklyn) LLC; Assessed Value: $47,377,350</t>
  </si>
  <si>
    <t>Buyer: 97 Columbia Heights LLC; Assessed Value: $6,722,100</t>
  </si>
  <si>
    <t>Buyer: Clipper 107 CH LLC; Assessed Value: $12,997,800</t>
  </si>
  <si>
    <t>Buyer: 119 Columbia Heights LLC; Assessed Value: $2,148,300</t>
  </si>
  <si>
    <t>Includes: 128 Columbia Heights; Buyer: Eastern Division LLC; Assessed Value: $15,095,700</t>
  </si>
  <si>
    <t>Includes: 122 Columbia Heights; Buyer: Eastern Division LLC</t>
  </si>
  <si>
    <t>Buyer: 161 Columbia Heights Residences LLC; Assessed Value: $310,845</t>
  </si>
  <si>
    <t>Buyer: George Feiger Trustee / Anita Driscoll Feiger Trustee; Assessed Value: $102,978</t>
  </si>
  <si>
    <t>Buyer: Club Deal 133 Columbia Heights Limited Partnership; Assessed Value: $3,996,000</t>
  </si>
  <si>
    <t>Buyer: 183 Columbia Holding LLC; Assessed Value: $430,200</t>
  </si>
  <si>
    <t>Lot 12</t>
  </si>
  <si>
    <t>Included In: 29 Columbia Heights; Buyer: 25-30 Columbia Heights (Brooklyn) LLC</t>
  </si>
  <si>
    <t>Ditmas ave</t>
  </si>
  <si>
    <t>https://www.realtyhop.com/building/9024-ditmas-avenue-brooklyn-ny-11236</t>
  </si>
  <si>
    <t>Sold to House of God Church</t>
  </si>
  <si>
    <t>Front St</t>
  </si>
  <si>
    <t>Buyer: Fortis Dumbo Acquisition LLC; Assessed Value: $2,034,450</t>
  </si>
  <si>
    <t>Included in: 177 Front St &amp; 200 Water St; Buyer: Dumbo Assemblage LLC;</t>
  </si>
  <si>
    <t>Incl. 173 Front St &amp; 200 Water St; Buyer: Dumbo Assemblage LLC; Assessed Value: $1,183,950</t>
  </si>
  <si>
    <t>Furman St</t>
  </si>
  <si>
    <t>Buyer: 360 Brooklyn Investors LLC; Assessed Value: $15,165,000</t>
  </si>
  <si>
    <t>Hicks St</t>
  </si>
  <si>
    <t>Buyer: Brooklyn Law School; Assessed Value: $616,500</t>
  </si>
  <si>
    <t>Jay St</t>
  </si>
  <si>
    <t>Buyer: 85 Jay Street (Brooklyn) LLC; Assessed Value: $1,481,850</t>
  </si>
  <si>
    <t>Joralemon St</t>
  </si>
  <si>
    <t>Buyer: 108 Joralemon Investors LLC;  Assessed Value: $210,015</t>
  </si>
  <si>
    <t>Livingston St</t>
  </si>
  <si>
    <t>Buyer: GC Livingston LLC; Assessed Value: $1,642,500</t>
  </si>
  <si>
    <t>Montague St</t>
  </si>
  <si>
    <t>Buyer: CF Bossert 26 LLC; Assessed Value: $14,265,000</t>
  </si>
  <si>
    <t>Orange St</t>
  </si>
  <si>
    <t>Buyer: Georg Rietboeck / Aditi Bagchi; Assessed Value: $274,500</t>
  </si>
  <si>
    <t>Orange St 20</t>
  </si>
  <si>
    <t>50 Orange Street Residences LLC</t>
  </si>
  <si>
    <t>Pearl St</t>
  </si>
  <si>
    <t>Buyer: 77 Sands Owner LLC; Assessed Value: $5,194,206</t>
  </si>
  <si>
    <t>Buyer: 175 Pearl Owner LLC; Assessed Value: $4,594,984</t>
  </si>
  <si>
    <t>Prospect St</t>
  </si>
  <si>
    <t>Buyer: 117 Adams Owner LLC; Assessed Value: $4,441,484</t>
  </si>
  <si>
    <t>Buyer: 81 Prospect Owner LLC; Assessed Value: $1,872,538</t>
  </si>
  <si>
    <t>Remsen St</t>
  </si>
  <si>
    <t>Buyer: Heights 67 LLC; Assessed Value: $312,513</t>
  </si>
  <si>
    <t>Sands St</t>
  </si>
  <si>
    <t>Buyer: 90 Sands Owner LLC; Assessed Value: $29,519,100</t>
  </si>
  <si>
    <t>Water St</t>
  </si>
  <si>
    <t>Included In: 177 &amp; 173 Front St; Buyer: Dumbo Assemblage LLC</t>
  </si>
  <si>
    <t>Willow St</t>
  </si>
  <si>
    <t>Buyer: R Shannon / S Shannon; Assessed Value: $71,884</t>
  </si>
  <si>
    <t>https://apartable.com/buildings/80-willow-street-brooklyn</t>
  </si>
  <si>
    <t>Was for sale. Still owned by WTBTS. Managed by Watchtower Properties. Units being rented out. Used estimated value as possible sale amount.</t>
  </si>
  <si>
    <t>https://apartable.com/buildings/86-willow-st-brooklyn-ny</t>
  </si>
  <si>
    <t>Was for sale. Still owned by WTBTS. Used Estimated value as potential sale price.</t>
  </si>
  <si>
    <t>Buyer: 105 Willow Street LLC; Assessed Value: $131,326</t>
  </si>
  <si>
    <t>St John's Place</t>
  </si>
  <si>
    <t>Brooklyn, Crown Heights</t>
  </si>
  <si>
    <t>Medford pl</t>
  </si>
  <si>
    <t>Buffalo</t>
  </si>
  <si>
    <t>https://www.google.com/maps/place/4+Medford+Pl,+Buffalo,+NY+14216/@42.9570532,-78.8663441,3a,75y,283.54h,90t/data=!3m6!1e1!3m4!1smwyMbG-TQ3tH4a6g9gO_Jw!2e0!7i13312!8i6656!4m5!3m4!1s0x89d36d3c2a0bec67:0xdcd6b57935ee6fee!8m2!3d42.9571025!4d-78.8665954</t>
  </si>
  <si>
    <t>Sold to The Worship Center</t>
  </si>
  <si>
    <t>Southside Pkwy</t>
  </si>
  <si>
    <t>https://www.zillow.com/homedetails/500-Southside-Pkwy-Buffalo-NY-14210/2136551625_zpid/</t>
  </si>
  <si>
    <t>Sold to Pro Firefighters</t>
  </si>
  <si>
    <t>Owego Rd</t>
  </si>
  <si>
    <t>Candor</t>
  </si>
  <si>
    <t>https://loopnet.com/listing/1040-owego-rd-candor-ny/14662304/</t>
  </si>
  <si>
    <t>Beaver rd</t>
  </si>
  <si>
    <t>Churchville</t>
  </si>
  <si>
    <t>https://www.howardhanna.com/Property/Detail/85-Beaver-Road-Chili-NY-14428/RochesterNYSold/R1132814</t>
  </si>
  <si>
    <t>Shimerville rd</t>
  </si>
  <si>
    <t>Clarence Center</t>
  </si>
  <si>
    <t>https://www.redfin.com/NY/Clarence-Center/5595-Shimerville-Rd-14032/home/77286896</t>
  </si>
  <si>
    <t>Wheeler ave</t>
  </si>
  <si>
    <t>Cortland</t>
  </si>
  <si>
    <t>https://www.xome.com/commercial-for-sale/78-Wheeler-Ave-Cortland-NY-13045-306682976</t>
  </si>
  <si>
    <t>Sold to Billietier Electric</t>
  </si>
  <si>
    <t>Western Turnpike</t>
  </si>
  <si>
    <t>Duanesburg</t>
  </si>
  <si>
    <t>https://www.xome.com/commercial-for-sale/2240-Western-Turnpike-Duanesburg-TOV-NY-12056-194754158</t>
  </si>
  <si>
    <t>Elizabethtown</t>
  </si>
  <si>
    <t>Buyer: Essex County</t>
  </si>
  <si>
    <t xml:space="preserve"> State Route 66</t>
  </si>
  <si>
    <t>Ghent</t>
  </si>
  <si>
    <t>https://www.neighborwho.com/NY/Ghent/1351-State-Route-66/</t>
  </si>
  <si>
    <t>Sold to Special Needs Program</t>
  </si>
  <si>
    <t>Hull rd</t>
  </si>
  <si>
    <t>Gouverneur</t>
  </si>
  <si>
    <t>https://www.movoto.com/gouverneur-ny/532-hull-rd-gouverneur-ny-13642/pid_1tdkdjdrjh/</t>
  </si>
  <si>
    <t>Now "Time Out Lounge"</t>
  </si>
  <si>
    <t>Hamburg</t>
  </si>
  <si>
    <t>https://www.howardhanna.com/Property/Detail/190-Sunset-Drive-Hamburg-NY-14075/BuffaloNYSold/B1085639</t>
  </si>
  <si>
    <t xml:space="preserve">Broadway </t>
  </si>
  <si>
    <t>Haverstraw</t>
  </si>
  <si>
    <t>https://www.coldwellbankerhomes.com/ny/haverstraw/49-broadway/pid_20625779/</t>
  </si>
  <si>
    <t>Originally listed for $399,000</t>
  </si>
  <si>
    <t>Smith ave</t>
  </si>
  <si>
    <t>https://www.redfin.com/NY/Holbrook/140-Smith-Ave-11741/home/21459323</t>
  </si>
  <si>
    <t>Sold to New Hope Baptist church</t>
  </si>
  <si>
    <t>Morris Ave</t>
  </si>
  <si>
    <t>Inwood</t>
  </si>
  <si>
    <t>https://www.realtytrac.com/property/ny/inwood/11096/306-morris-ave/169424546/</t>
  </si>
  <si>
    <t>Originally listed for $2.4 Million: http://www.madeleinerealty.com/agent/property?ListingName=*1318647</t>
  </si>
  <si>
    <t>Reynolds Road</t>
  </si>
  <si>
    <t>Johnson City</t>
  </si>
  <si>
    <t>https://www.realtytrac.com/property/ny/johnson-city/13790/1364-reynolds-rd/151769200/</t>
  </si>
  <si>
    <t>Now the Detrick Family Chiropractic office</t>
  </si>
  <si>
    <t>ST-Hwy 29</t>
  </si>
  <si>
    <t>Johnstown</t>
  </si>
  <si>
    <t>https://www.xome.com/realestate/2802-state-highway-29-johnstown-ny-12095-75373801</t>
  </si>
  <si>
    <t>Sold to Johnstown Animal Clinic</t>
  </si>
  <si>
    <t>Mondore Dr</t>
  </si>
  <si>
    <t>La Fayette</t>
  </si>
  <si>
    <t>https://www.realtor.com/realestateandhomes-detail/5808-Mondore-Dr_La-Fayette_NY_13084_M41247-24117</t>
  </si>
  <si>
    <t>S. Fisher road</t>
  </si>
  <si>
    <t>Lackawanna-West Seneca</t>
  </si>
  <si>
    <t>https://www.zillow.com/homedetails/10-S-Fisher-Rd-West-Seneca-NY-14218/2138517137_zpid/</t>
  </si>
  <si>
    <t>Now the "Brandywine Banquet Center"</t>
  </si>
  <si>
    <t>E. John St</t>
  </si>
  <si>
    <t>Lindenhurst</t>
  </si>
  <si>
    <t>https://www.realtytrac.com/property/ny/lindenhurst/11757/450-e-john-st/169978708/</t>
  </si>
  <si>
    <t>Sold to "All Saints Church of God"</t>
  </si>
  <si>
    <t>Crescent St</t>
  </si>
  <si>
    <t>Long Island City</t>
  </si>
  <si>
    <t>https://www.realtytrac.com/property/ny/long-island-city/11101/3746-crescent-st/170521120/</t>
  </si>
  <si>
    <t>Sold to Bosnian Hercegovinian Islamic Center</t>
  </si>
  <si>
    <t>Olean Road</t>
  </si>
  <si>
    <t>Machias</t>
  </si>
  <si>
    <t>https://www.realtor.com/realestateandhomes-detail/9047-Nys-Route-16_Machias_NY_14101_M35743-52647#photo1</t>
  </si>
  <si>
    <t>Turned into a residence. There is no Kingdom hall in Machias at all</t>
  </si>
  <si>
    <t>Locust St</t>
  </si>
  <si>
    <t>Manhasset</t>
  </si>
  <si>
    <t>https://www.realtytrac.com/property/ny/manhasset/11030/24-locust-st/38078947/</t>
  </si>
  <si>
    <t>Now: JJS Transportation &amp; Distribution</t>
  </si>
  <si>
    <t xml:space="preserve">N. Broadway </t>
  </si>
  <si>
    <t>Massapequa</t>
  </si>
  <si>
    <t>http://www.signaturepremier.com/agent/property?ListingName=2130127</t>
  </si>
  <si>
    <t>State Route 21</t>
  </si>
  <si>
    <t>Naples, Ontario County</t>
  </si>
  <si>
    <t>https://www.point2homes.com/US/Commercial-For-Sale/NY/Ontario-County/Greater-Naples/8751-State-Route-21/88257215.html</t>
  </si>
  <si>
    <t>Charlotteville Rd</t>
  </si>
  <si>
    <t>Newfane</t>
  </si>
  <si>
    <t>https://www.howardhanna.com/Property/Detail/6456-Charlotteville-Road-Newfane-NY-14108/BuffaloNY/B1159844</t>
  </si>
  <si>
    <t>14th St</t>
  </si>
  <si>
    <t>https://www.realtytrac.com/property/ny/niagara-falls/14303/359-14th-st/146791852/</t>
  </si>
  <si>
    <t>Sold to Niagara Falls Church of Christ</t>
  </si>
  <si>
    <t>Route 812</t>
  </si>
  <si>
    <t>Ogdensburg</t>
  </si>
  <si>
    <t>https://www.realtytrac.com/property/ny/ogdensburg/13669/5442-state-highway-812/169964404/</t>
  </si>
  <si>
    <t>Dugan road</t>
  </si>
  <si>
    <t>Olean</t>
  </si>
  <si>
    <t>https://www.redfin.com/NY/Olean/2275-Dugan-Rd-14760/home/92795690</t>
  </si>
  <si>
    <t>Sold to Olean Meditation Center</t>
  </si>
  <si>
    <t>State Route 12</t>
  </si>
  <si>
    <t>https://www.howardhanna.com/Property/Detail/2610-State-Route-12-Paris-NY-13456/SyracuseNYsold/1801005</t>
  </si>
  <si>
    <t>Culver Road</t>
  </si>
  <si>
    <t>Rochester</t>
  </si>
  <si>
    <t>https://www.xome.com/realestate/2913-culver-rd-rochester-ny-14622-72520371</t>
  </si>
  <si>
    <t>Now Skeels Denistry</t>
  </si>
  <si>
    <t>Scottsville Mumford Road</t>
  </si>
  <si>
    <t>Scottsville</t>
  </si>
  <si>
    <t>https://www.google.com/maps/place/Kingdom+Hall+of+Jehovah's+Witnesses/@43.0544031,-79.2763816,8z/data=!4m8!1m2!2m1!1swheatland+ny+kingdom+hall+of+jehovah's+witnesses!3m4!1s0x89d150cf213573bd:0x37027b5ca4f2c07b!8m2!3d43.0120434!4d-77.827884</t>
  </si>
  <si>
    <t>Sold to the Charity Bible Church: https://www.google.com/maps/place/1794+Scottsville+Mumford+Rd,+Scottsville,+NY+14546/@43.0116649,-77.8276714,3a,75y,326.92h,90t/data=!3m7!1e1!3m5!1soHRrm31FblHSkPKlBYjr5Q!2e0!6s%2F%2Fgeo3.ggpht.com%2Fcbk%3Fpanoid%3DoHRrm31FblHSkPKlBYjr5Q%26output%3Dthumbnail%26cb_client%3Dsearch.gws-prod.gps%26thumb%3D2%26w%3D360%26h%3D120%26yaw%3D326.9167%26pitch%3D0%26thumbfov%3D100!7i16384!8i8192!4m8!1m2!2m1!1s1794+Scottsville+Mumford+Rd,+Scottsville,+NY+14546+sold!3m4!1s0x89d150cf2642a34f:0x9716788edbf509f6!8m2!3d43.0119523!4d-77.827928</t>
  </si>
  <si>
    <t>Walter Dr</t>
  </si>
  <si>
    <t>Syracuse</t>
  </si>
  <si>
    <t>https://www.realtytrac.com/property/ny/syracuse/13206/135-walter-dr/32737565/</t>
  </si>
  <si>
    <t>Now the Fellowship Hall</t>
  </si>
  <si>
    <t>On Kimmy's list. 3-Mar-2019 Brother Frank TV video</t>
  </si>
  <si>
    <t>Kemble st</t>
  </si>
  <si>
    <t xml:space="preserve">Utica </t>
  </si>
  <si>
    <t>https://www.google.com/maps/place/1631+Kemble+St,+Utica,+NY+13501/@43.0870995,-75.2474852,3a,75y,118.36h,90t/data=!3m6!1e1!3m4!1s83JLW0PkO-4Ln9_Zhww1jQ!2e0!7i13312!8i6656!4m5!3m4!1s0x89d946ccd8043d45:0xb8a9e02194e78c3c!8m2!3d43.0869773!4d-75.2471541</t>
  </si>
  <si>
    <t>Now the Muslim Community Associates</t>
  </si>
  <si>
    <t>Maple Road</t>
  </si>
  <si>
    <t>Van Buren</t>
  </si>
  <si>
    <t>https://www.coldwellbankerprime.com/p/7758-Maple-Road-Van-Buren-NY-13027/dmgid_135632415</t>
  </si>
  <si>
    <t>This sale is pending as of 3/24/2020</t>
  </si>
  <si>
    <t>Hinds Road</t>
  </si>
  <si>
    <t>Watertown</t>
  </si>
  <si>
    <t>https://exitrealty.com/listing/nyjlborS1188308/24650_Hinds__Pamelia__NY_13601/</t>
  </si>
  <si>
    <t>Belmont Ave</t>
  </si>
  <si>
    <t>West Babylon</t>
  </si>
  <si>
    <t>https://www.xome.com/realestate/342-belmont-ave-west-babylon-ny-11704-135790739</t>
  </si>
  <si>
    <t>Now St Joseph's Church</t>
  </si>
  <si>
    <t>Academy-Plank st</t>
  </si>
  <si>
    <t>Westfield</t>
  </si>
  <si>
    <t>https://www.howardhanna.com/Property/Detail/7605-Plank-Academy-Street-Westfield-NY-14787/RochesterNY/R1266565</t>
  </si>
  <si>
    <t>Plank Rd.</t>
  </si>
  <si>
    <t>Main st- NY-5</t>
  </si>
  <si>
    <t>Williamsville</t>
  </si>
  <si>
    <t>https://www.xome.com/realestate/6710-main-st-williamsville-ny-14221-77497190?hv=1</t>
  </si>
  <si>
    <t>Tyrrell St</t>
  </si>
  <si>
    <t>Wolcott</t>
  </si>
  <si>
    <t>https://www.realtor.com/realestateandhomes-detail/12353-Tyrrell-St_Wolcott_NY_14590_M38214-13799</t>
  </si>
  <si>
    <t>Palmer rd</t>
  </si>
  <si>
    <t>Yonkers</t>
  </si>
  <si>
    <t>https://www.loopnet.com/Listing/365-Palmer-Rd-Yonkers-NY/13191566/</t>
  </si>
  <si>
    <t>Unknown</t>
  </si>
  <si>
    <t>Wooster Ave</t>
  </si>
  <si>
    <t>Akron</t>
  </si>
  <si>
    <t>OH</t>
  </si>
  <si>
    <t xml:space="preserve">N Portage Path </t>
  </si>
  <si>
    <t xml:space="preserve">Akron </t>
  </si>
  <si>
    <t>https://www.zillow.com/homedetails/927-N-Portage-Path-Akron-OH-44303/2087922775_zpid/</t>
  </si>
  <si>
    <t>S Main St</t>
  </si>
  <si>
    <t>https://www.xome.com/commercial-for-sale/1814-S-Main-Street-Akron-OH-44301-237206223</t>
  </si>
  <si>
    <t>The Educational Empowerment Group</t>
  </si>
  <si>
    <t>Milner St</t>
  </si>
  <si>
    <t xml:space="preserve">Alliance </t>
  </si>
  <si>
    <t>Alliance Believers Church</t>
  </si>
  <si>
    <t>Harold Dr</t>
  </si>
  <si>
    <t xml:space="preserve">Ashland </t>
  </si>
  <si>
    <t>unknown</t>
  </si>
  <si>
    <t>Avon Belden Rd</t>
  </si>
  <si>
    <t>Avon Lake</t>
  </si>
  <si>
    <t>Listed for: $185,000</t>
  </si>
  <si>
    <t>Barnesville Hendrysburg</t>
  </si>
  <si>
    <t>Barnesville</t>
  </si>
  <si>
    <t>https://www.realliving.com/commercial-for-sale/62700-Barnesville-Hendrysburg-Road-Barnesville-OH-43713-212685644</t>
  </si>
  <si>
    <t>Aster Hardwoods LLC</t>
  </si>
  <si>
    <t>Broadway ave</t>
  </si>
  <si>
    <t>Bedford</t>
  </si>
  <si>
    <t>https://www.realliving.com/commercial-for-sale/1406-Broadway-Avenue-Bedford-OH-44146-220424400</t>
  </si>
  <si>
    <t>S St Paris St</t>
  </si>
  <si>
    <t xml:space="preserve">Bellefontaine </t>
  </si>
  <si>
    <t>Recovery Zone</t>
  </si>
  <si>
    <t>N State Route 133</t>
  </si>
  <si>
    <t xml:space="preserve">Blanchester </t>
  </si>
  <si>
    <t>Broadview Rd</t>
  </si>
  <si>
    <t>Broadview Heights</t>
  </si>
  <si>
    <t>Carrell Rd</t>
  </si>
  <si>
    <t>Bucyrus</t>
  </si>
  <si>
    <t>https://www.howardhanna.com/Property/Detail/3158-Carrell-Road-Bucyrus-OH-44820/MansfieldOHSold/9038832</t>
  </si>
  <si>
    <t>Sanderson Ave</t>
  </si>
  <si>
    <t>Campbell</t>
  </si>
  <si>
    <t>https://www.zillow.com/homedetails/710-Sanderson-Ave-Campbell-OH-44405/192357639_zpid/</t>
  </si>
  <si>
    <t>Possibly called "Community Church of God"</t>
  </si>
  <si>
    <t>Sherrick Rd SE</t>
  </si>
  <si>
    <t>Canton</t>
  </si>
  <si>
    <t>https://www.realtytrac.com/property/oh/canton/44707/1319-sherrick-rd-se/182009659/</t>
  </si>
  <si>
    <t>Whipple Ave NW</t>
  </si>
  <si>
    <t xml:space="preserve">Canton </t>
  </si>
  <si>
    <t>https://www.realtor.com/realestateandhomes-detail/4700-Whipple-Ave-NW_Canton_OH_44718_M42032-76079</t>
  </si>
  <si>
    <t xml:space="preserve">currently listed as SARTA Belden Village Transit Center </t>
  </si>
  <si>
    <t>County Rd 1</t>
  </si>
  <si>
    <t xml:space="preserve">Chesapeake </t>
  </si>
  <si>
    <t>https://www.realtor.com/realestateandhomes-detail/10509-County-Road-1_Chesapeake_OH_45619_M99898-81841</t>
  </si>
  <si>
    <t>Elite Tumbling Center</t>
  </si>
  <si>
    <t>Chillicothe Rd</t>
  </si>
  <si>
    <t>Chesterland</t>
  </si>
  <si>
    <t>https://www.kaufmanrealty.com/p/11550-Chillicothe-Road-Chesterland-OH-44026/dmgid_136544746</t>
  </si>
  <si>
    <t>Bridgetown Rd</t>
  </si>
  <si>
    <t>Cincinnati</t>
  </si>
  <si>
    <t>https://www.coldwellbankerhomes.com/oh/green-township/5629-bridgetown-rd/pid_28443096/</t>
  </si>
  <si>
    <t>1518-1520</t>
  </si>
  <si>
    <t>John St</t>
  </si>
  <si>
    <t>Sold to stadium</t>
  </si>
  <si>
    <t>Forest Rd</t>
  </si>
  <si>
    <t xml:space="preserve">Cincinnati </t>
  </si>
  <si>
    <t>https://www.coldwellbankerhomes.com/oh/anderson-township/7577-forest-rd/pid_27015162/</t>
  </si>
  <si>
    <t>Linden Ave</t>
  </si>
  <si>
    <t>https://www.realtor.com/realestateandhomes-detail/831-Linden-Ave_Cincinnati_OH_45215_M98780-55555</t>
  </si>
  <si>
    <t>Robison Rd</t>
  </si>
  <si>
    <t>currently is BREAD OF LIFE CHURCH</t>
  </si>
  <si>
    <t>https://www.xome.com/commercial-for-sale/8046-Broadview-Road-Broadview-Heights-OH-44147-307632193</t>
  </si>
  <si>
    <t>E. 131st St</t>
  </si>
  <si>
    <t>https://www.realtytrac.com/property/oh/cleveland/44105/3949-e-131st-st/33468256/</t>
  </si>
  <si>
    <t>E. 75th St</t>
  </si>
  <si>
    <t>https://www.howardhanna.com/Property/Detail/1914-E-75th-Street-Cleveland-OH-44103/NorthernOHSold/4056073</t>
  </si>
  <si>
    <t>Madison Ave</t>
  </si>
  <si>
    <t>https://www.realtytrac.com/property/oh/lakewood/44107/17526-madison-ave/36977470/</t>
  </si>
  <si>
    <t>Sold to a credit union</t>
  </si>
  <si>
    <t>W. 105th St</t>
  </si>
  <si>
    <t>Broadway Ave</t>
  </si>
  <si>
    <t xml:space="preserve">Cleveland </t>
  </si>
  <si>
    <t>https://www.realtor.com/realestateandhomes-detail/1406-Broadway-Ave_Bedford_OH_44146_M92380-94216</t>
  </si>
  <si>
    <t>Sea of Glass Church of God</t>
  </si>
  <si>
    <t xml:space="preserve">Residential </t>
  </si>
  <si>
    <t>Dunford Rd</t>
  </si>
  <si>
    <t>https://www.realtor.com/realestateandhomes-detail/27503-Dunford-Rd_Westlake_OH_44145_M37890-78182</t>
  </si>
  <si>
    <t>E 116th St</t>
  </si>
  <si>
    <t>https://www.realtor.com/realestateandhomes-detail/3135-E-116th-St_Cleveland_OH_44120_M90778-27623</t>
  </si>
  <si>
    <t>Ridge Rd</t>
  </si>
  <si>
    <t>https://www.zillow.com/homedetails/6087-Ridge-Rd-Parma-OH-44129/2112566967_zpid/</t>
  </si>
  <si>
    <t>Was being used as a doctor's office, now listed for rent</t>
  </si>
  <si>
    <t>Superior Ave</t>
  </si>
  <si>
    <t>True Missionary Baptist Church</t>
  </si>
  <si>
    <t>W Park Ave</t>
  </si>
  <si>
    <t xml:space="preserve">Columbiana </t>
  </si>
  <si>
    <t>Small Wonders Discovery and Learning Center</t>
  </si>
  <si>
    <t>Lockbourne Rd</t>
  </si>
  <si>
    <t>Columbus</t>
  </si>
  <si>
    <t>https://www.howardhanna.com/Property/Detail/2505-Lockbourne-Road-Columbus-OH-43207/NorthernOHSold/4066547</t>
  </si>
  <si>
    <t>Brentnell Ave</t>
  </si>
  <si>
    <t xml:space="preserve">Columbus </t>
  </si>
  <si>
    <t xml:space="preserve">New Season Christian Ministries </t>
  </si>
  <si>
    <t>Burkhardt Rd</t>
  </si>
  <si>
    <t>Dayton</t>
  </si>
  <si>
    <t>https://www.realtor.com/realestateandhomes-detail/5636-Burkhardt-Rd_Dayton_OH_45431_M93621-23241</t>
  </si>
  <si>
    <t>N Gettysburg Ave</t>
  </si>
  <si>
    <t xml:space="preserve">Dayton </t>
  </si>
  <si>
    <t>https://www.commercialexchange.com/listing/23945458/2700-N-Gettysburg-Ave-Dayton-OH-45406</t>
  </si>
  <si>
    <t>Steiner Ave</t>
  </si>
  <si>
    <t xml:space="preserve">New Testament Christian Church </t>
  </si>
  <si>
    <t>S. Clinton St</t>
  </si>
  <si>
    <t xml:space="preserve">Defiance </t>
  </si>
  <si>
    <t>https://www.realtytrac.com/property/oh/defiance/43512/1757-s-clinton-st/213453520/</t>
  </si>
  <si>
    <t>Hills-Miller Rd</t>
  </si>
  <si>
    <t>Delaware</t>
  </si>
  <si>
    <t>Sold to American Red Cross</t>
  </si>
  <si>
    <t>E Rebecca St</t>
  </si>
  <si>
    <t xml:space="preserve">East Palestine </t>
  </si>
  <si>
    <t>Rebecca's Place</t>
  </si>
  <si>
    <t>W State Route 51</t>
  </si>
  <si>
    <t xml:space="preserve">Elmore </t>
  </si>
  <si>
    <t>Crosser Funeral Home</t>
  </si>
  <si>
    <t>Telegraph rd</t>
  </si>
  <si>
    <t>Elyria</t>
  </si>
  <si>
    <t>https://www.howardhanna.com/Property/Detail/44715-Telegraph-Road-Elyria-OH-44035/NorthernOHSold/3979926</t>
  </si>
  <si>
    <t>Sold to Baptist church</t>
  </si>
  <si>
    <t>N. US Highway 23</t>
  </si>
  <si>
    <t>Fostoria</t>
  </si>
  <si>
    <t>https://www.xome.com/realestate/533-n-us-highway-23-fostoria-oh-44830-83160996</t>
  </si>
  <si>
    <t>State Route 19</t>
  </si>
  <si>
    <t xml:space="preserve">Galion </t>
  </si>
  <si>
    <t xml:space="preserve">Tamara Hosiery Company </t>
  </si>
  <si>
    <t>Shannon rd</t>
  </si>
  <si>
    <t>Girard</t>
  </si>
  <si>
    <t>https://www.xome.com/realestate/1350-shannon-rd-girard-oh-44420-84438041</t>
  </si>
  <si>
    <t>Now is a Masonic Temple</t>
  </si>
  <si>
    <t>Bridgetown road</t>
  </si>
  <si>
    <t>Green Township</t>
  </si>
  <si>
    <t>https://www.xome.com/commercial-for-sale/5629-Bridgetown-Road-Green-Twp-OH-45248-296929156</t>
  </si>
  <si>
    <t>Grove City Rd</t>
  </si>
  <si>
    <t xml:space="preserve">Grove City </t>
  </si>
  <si>
    <t>https://www.xome.com/commercial-for-sale/4371-Grove-City-Road-Grove-City-OH-43123-307643925</t>
  </si>
  <si>
    <t>Grove City Community Church</t>
  </si>
  <si>
    <t>Ross ave</t>
  </si>
  <si>
    <t>Hamilton</t>
  </si>
  <si>
    <t>https://www.realtytrac.com/property/oh/hamilton/45013/534-ross-ave/32929746/</t>
  </si>
  <si>
    <t>Sold to Lighthouse Christain Fellowship</t>
  </si>
  <si>
    <t>Sugar Grove rd SE</t>
  </si>
  <si>
    <t>Lancaster</t>
  </si>
  <si>
    <t>https://www.howardhanna.com/Property/Detail/1051-Sugar-Grove-Road-SE-Lancaster-OH-43130/NorthernOHSold/4054991</t>
  </si>
  <si>
    <t>Allentown Rd</t>
  </si>
  <si>
    <t>Lima</t>
  </si>
  <si>
    <t>https://www.xome.com/realestate/4030-allentown-rd-lima-oh-45807-15248885</t>
  </si>
  <si>
    <t xml:space="preserve">Laux Chiropractic </t>
  </si>
  <si>
    <t>S. Sugar st</t>
  </si>
  <si>
    <t>https://www.realtytrac.com/property/oh/lima/45804/1401-s-sugar-st/183397560/</t>
  </si>
  <si>
    <t>Sold to a Child Day Care</t>
  </si>
  <si>
    <t>Crehore St</t>
  </si>
  <si>
    <t>Lorain</t>
  </si>
  <si>
    <t>https://www.zillow.com/homedetails/2340-Crehore-St-Lorain-OH-44052/2086690949_zpid/</t>
  </si>
  <si>
    <t>N. Union St</t>
  </si>
  <si>
    <t>Loudonville</t>
  </si>
  <si>
    <t>https://www.realtytrac.com/property/oh/loudonville/44842/916-n-union-st/237068730/</t>
  </si>
  <si>
    <t>Meese rd</t>
  </si>
  <si>
    <t>https://www.realtytrac.com/property/oh/louisville/44641/4446-meese-rd/242724115/</t>
  </si>
  <si>
    <t>Sold to Berean Bible Church- Originally listed for $99,000</t>
  </si>
  <si>
    <t xml:space="preserve">Mansfield </t>
  </si>
  <si>
    <t>https://www.howardhanna.com/Property/Detail/1650-S-Main-Mansfield-OH-44907/MansfieldOHSold/9042948</t>
  </si>
  <si>
    <t xml:space="preserve">All Believers in Christ </t>
  </si>
  <si>
    <t>Nave Rd SE</t>
  </si>
  <si>
    <t>Massillon</t>
  </si>
  <si>
    <t>https://www.realtor.com/realestateandhomes-detail/2177-Nave-Rd-SE_Massillon_OH_44646_M41361-18019</t>
  </si>
  <si>
    <t>Listed for $299,000 on 10-May-2018</t>
  </si>
  <si>
    <t>Coon Club Rd</t>
  </si>
  <si>
    <t>Medina</t>
  </si>
  <si>
    <t>https://www.estately.com/listings/info/7490-coon-club-rd</t>
  </si>
  <si>
    <t>Listed for $134,900 on 1 Feb 2018</t>
  </si>
  <si>
    <t>S Bellefontaine Rd</t>
  </si>
  <si>
    <t>New Carlisle</t>
  </si>
  <si>
    <t>https://www.realtor.com/realestateandhomes-detail/9025-Bellefontaine-Rd_New-Carlisle_OH_45344_M95506-88813</t>
  </si>
  <si>
    <t>Now the Bethel Lighthouse Pentecostal Church. Sold for $115,000 on 12-Jan-1998. Was not sold in or after 2004, so leaving the price column as $0.</t>
  </si>
  <si>
    <t>Springfield Rd</t>
  </si>
  <si>
    <t xml:space="preserve">New Springfield </t>
  </si>
  <si>
    <t>https://www.realliving.com/commercial-for-sale/13323-Springfield-Road-New-Springfield-OH-44443-271248217</t>
  </si>
  <si>
    <t>Gainor Ave</t>
  </si>
  <si>
    <t>Newark</t>
  </si>
  <si>
    <t>https://www.realtytrac.com/property/oh/newark/43055/35-gainor-ave/46692061/</t>
  </si>
  <si>
    <t>Granville Rd</t>
  </si>
  <si>
    <t>https://www.realtor.com/realestateandhomes-detail/1240-Granville-Rd_Newark_OH_43055_M39613-26382</t>
  </si>
  <si>
    <t>Walker Lake Rd</t>
  </si>
  <si>
    <t>https://www.howardhanna.com/Property/Detail/1745-Walker-Lake-Road-Ontario-OH-44906/NorthernOHSold/4012281</t>
  </si>
  <si>
    <t>E Main St</t>
  </si>
  <si>
    <t xml:space="preserve">Ottawa </t>
  </si>
  <si>
    <t>https://www.xome.com/realestate/1305-e-main-st-ottawa-oh-45875-80951546</t>
  </si>
  <si>
    <t xml:space="preserve">Guys and Dolls Hair Co. </t>
  </si>
  <si>
    <t>Oxford Reily Rd</t>
  </si>
  <si>
    <t>Oxford</t>
  </si>
  <si>
    <t>https://www.coldwellbankerhomes.com/oh/oxford/4398-oxford-riley-rd/pid_26972703/</t>
  </si>
  <si>
    <t xml:space="preserve">Oxford Vinyard Church </t>
  </si>
  <si>
    <t>Mentor Ave</t>
  </si>
  <si>
    <t>Painesville</t>
  </si>
  <si>
    <t>https://www.realliving.com/commercial-for-sale/1000-Mentor-Avenue-Painesville-OH-44077-264341468</t>
  </si>
  <si>
    <t>Listed for $259,900 on 26-Dec-2018</t>
  </si>
  <si>
    <t>Jefferson St</t>
  </si>
  <si>
    <t>Port Clinton</t>
  </si>
  <si>
    <t>Van Dootingh Sue E OD</t>
  </si>
  <si>
    <t>SW Bunker Hill Rd</t>
  </si>
  <si>
    <t>Port Washington</t>
  </si>
  <si>
    <t>https://www.zillow.com/homedetails/9603-Bunker-Hill-Rd-SW-Port-Washington-OH-43837/58733832_zpid/</t>
  </si>
  <si>
    <t>Listed for $450,065 on 12-Dec-2017</t>
  </si>
  <si>
    <t>S Saint Clairsville Rd</t>
  </si>
  <si>
    <t xml:space="preserve">Port Washington </t>
  </si>
  <si>
    <t>https://www.realtor.com/realestateandhomes-detail/105-S-Saint-Clairsville-Rd_Port-Washington_OH_43837_M37432-06957</t>
  </si>
  <si>
    <t>Currently an apartment or single family home.</t>
  </si>
  <si>
    <t xml:space="preserve">Powhatan Point </t>
  </si>
  <si>
    <t>https://www.realtor.com/realestateandhomes-detail/155-Clark-St_Powhatan-Point_OH_43942_M47578-24514#photo5</t>
  </si>
  <si>
    <t>Lovers Ln</t>
  </si>
  <si>
    <t>Ravenna</t>
  </si>
  <si>
    <t>http://www.remaxcommercial.com/?p=findahome.asp&amp;listing=true&amp;mlsid=2977&amp;mlsnumber=372970441</t>
  </si>
  <si>
    <t>State Blvd</t>
  </si>
  <si>
    <t>Salem</t>
  </si>
  <si>
    <t>http://www.remaxcommercial.com/?p=findahome.asp&amp;listing=true&amp;mlsid=2977&amp;mlsnumber=393876498</t>
  </si>
  <si>
    <t xml:space="preserve">King St </t>
  </si>
  <si>
    <t xml:space="preserve">Sandusky </t>
  </si>
  <si>
    <t>https://www.howardhanna.com/Property/Detail/608-King-Street-Sandusky-OH-44870/MansfieldOHSold/9045241</t>
  </si>
  <si>
    <t>Fraternal Order of Eagles</t>
  </si>
  <si>
    <t>Greenwich Rd</t>
  </si>
  <si>
    <t>Seville</t>
  </si>
  <si>
    <t>https://www.estately.com/listings/info/4355-greenwich-rd</t>
  </si>
  <si>
    <t>Listed for $194,900 on 30-May-2018</t>
  </si>
  <si>
    <t>State Route 61 N</t>
  </si>
  <si>
    <t>Shelby</t>
  </si>
  <si>
    <t>https://www.xome.com/realestate/7085-state-route-61-n-shelby-oh-44875-88974387</t>
  </si>
  <si>
    <t>SOLD MAY 2020</t>
  </si>
  <si>
    <t>Kenton St</t>
  </si>
  <si>
    <t xml:space="preserve">Springfield </t>
  </si>
  <si>
    <t>https://www.xome.com/realestate/2105-kenton-st-springfield-oh-45505-144192029</t>
  </si>
  <si>
    <t xml:space="preserve">Smart Start Academy Child Care &amp; Learning Center </t>
  </si>
  <si>
    <t>Oneida St</t>
  </si>
  <si>
    <t>Stow</t>
  </si>
  <si>
    <t>https://www.realtor.com/realestateandhomes-detail/3924-Oneida-St_Stow_OH_44224_M31569-98393</t>
  </si>
  <si>
    <t xml:space="preserve">Nazarene Christian Congregation </t>
  </si>
  <si>
    <t>Sherman White Rd</t>
  </si>
  <si>
    <t>Swanton</t>
  </si>
  <si>
    <t>https://www.homesnap.com/OH/Whitehouse/13923-Sherman-White-Road</t>
  </si>
  <si>
    <t>Peters Rd</t>
  </si>
  <si>
    <t xml:space="preserve">Tipp City </t>
  </si>
  <si>
    <t>https://www.xome.com/realestate/7465-peters-rd-tipp-city-oh-45371-88710057</t>
  </si>
  <si>
    <t>Four Winds Full Gospel Church</t>
  </si>
  <si>
    <t>E. Manhattan Blvd</t>
  </si>
  <si>
    <t>Toledo</t>
  </si>
  <si>
    <t>https://www.xome.com/realestate/3445-e-manhattan-blvd-toledo-oh-43611-77210688</t>
  </si>
  <si>
    <t>Daycare bought it</t>
  </si>
  <si>
    <t>W Bancroft St</t>
  </si>
  <si>
    <t>https://www.beenverified.com/property/oh/toledo/bancroft-st-residences/</t>
  </si>
  <si>
    <t>A Promising Tomorrow. Last sold sometime in 2007. Month and day unknown</t>
  </si>
  <si>
    <t>Campbell St</t>
  </si>
  <si>
    <t xml:space="preserve">Toledo </t>
  </si>
  <si>
    <t>https://www.publicdatausa.com/chris-house</t>
  </si>
  <si>
    <t>Power House (church). Sold for $175,000 on 22 Apr 2003. Because it sold before 2004, leaving sale amount as $0.</t>
  </si>
  <si>
    <t>N Mccord Rd</t>
  </si>
  <si>
    <t xml:space="preserve">Over the Rainbow Early Learning Center </t>
  </si>
  <si>
    <t>W. Main st</t>
  </si>
  <si>
    <t>Trotwood</t>
  </si>
  <si>
    <t>https://www.coldwellbankerishome.com/for-sale/465-w-main-st-trotwood-oh-45426/140-191586</t>
  </si>
  <si>
    <t>Youtube video: https://youtu.be/EoLkX9m7s0s</t>
  </si>
  <si>
    <t>State Route 800 SE</t>
  </si>
  <si>
    <t>Uhrichville</t>
  </si>
  <si>
    <t>https://www.realliving.com/commercial-for-sale/7041-State-Route-800-SE-Uhrichsville-OH-44683-252542877</t>
  </si>
  <si>
    <t>W. State Hwy 53</t>
  </si>
  <si>
    <t>Upper Sandusky</t>
  </si>
  <si>
    <t>https://www.howardhanna.com/Property/Detail/10819-W-State-Hwy-53-Upper-Sandusky-OH-43351/ToledoOHSold/H140159</t>
  </si>
  <si>
    <t>Originally listed for $245,000</t>
  </si>
  <si>
    <t xml:space="preserve">Unknown </t>
  </si>
  <si>
    <t>St Rt 60</t>
  </si>
  <si>
    <t xml:space="preserve">Vermilion </t>
  </si>
  <si>
    <t xml:space="preserve">unknown - no info </t>
  </si>
  <si>
    <t>W. Plum St</t>
  </si>
  <si>
    <t>Wapakoneta</t>
  </si>
  <si>
    <t>https://www.sibcycline.com/Listing/WRIST/416497/916-W-Plum-St-Wapakoneta-OH-45895</t>
  </si>
  <si>
    <t>Tod Ave NW</t>
  </si>
  <si>
    <t>Warren</t>
  </si>
  <si>
    <t>https://www.xome.com/commercial-for-sale/3555-Tod-Avenue-NW-Warren-OH-44485-313119169</t>
  </si>
  <si>
    <t xml:space="preserve">Mercy In Action Ministries </t>
  </si>
  <si>
    <t>Ewalt Ave NE</t>
  </si>
  <si>
    <t xml:space="preserve">Warren </t>
  </si>
  <si>
    <t>https://www.xome.com/commercial-for-sale/1963-Ewalt-Warren-OH-44483-307530806</t>
  </si>
  <si>
    <t xml:space="preserve">Home </t>
  </si>
  <si>
    <t>York Ave NW</t>
  </si>
  <si>
    <t>https://www.realtor.com/realestateandhomes-detail/514-York-St_North-Bloomfield_OH_44450_M35925-55058</t>
  </si>
  <si>
    <t xml:space="preserve">single family home </t>
  </si>
  <si>
    <t>Sherman White Road</t>
  </si>
  <si>
    <t>Whitehouse</t>
  </si>
  <si>
    <t>https://www.howardhanna.com/Property/Detail/13923-Sherman-White-Road-Whitehouse-OH-43571/ToledoOH/6049854</t>
  </si>
  <si>
    <t>Originally llisted for $344,000</t>
  </si>
  <si>
    <t>Kirtland Road</t>
  </si>
  <si>
    <t>Willoughby</t>
  </si>
  <si>
    <t>https://www.howardhanna.com/Property/Detail/4095-Kirtland-Rd-Willoughby-OH-44094/NorthernOHSold/3974246</t>
  </si>
  <si>
    <t>Woodlawn-Cincinnati</t>
  </si>
  <si>
    <t>https://www.sibcycline.com/Listing/CIN/1606402/831-Linden-Ave-Woodlawn-OH-45215</t>
  </si>
  <si>
    <t>E Dewey Ave</t>
  </si>
  <si>
    <t xml:space="preserve">Youngstown </t>
  </si>
  <si>
    <t>https://www.howardhanna.com/Property/Detail/12-East-Dewey-Ave-Youngstown-OH-44507/NorthernOHSold/3977511</t>
  </si>
  <si>
    <t>Youngstown Event Center</t>
  </si>
  <si>
    <t>N 20th St</t>
  </si>
  <si>
    <t>Guthrie</t>
  </si>
  <si>
    <t>OK</t>
  </si>
  <si>
    <t>https://www.realtytrac.com/property/ok/guthrie/73044/315-n-20th-st/208918450/</t>
  </si>
  <si>
    <t>W Apache St</t>
  </si>
  <si>
    <t>Lindsay</t>
  </si>
  <si>
    <t>https://www.loopnet.com/Listing/502-W-Apache-St-Lindsay-OK/16532880/</t>
  </si>
  <si>
    <t>Boundary St</t>
  </si>
  <si>
    <t>https://www.xome.com/realestate/402-e-boundary-st-perry-ok-73077-80983456</t>
  </si>
  <si>
    <t>E. Admiral Place</t>
  </si>
  <si>
    <t>Tulsa</t>
  </si>
  <si>
    <t>https://www.realtor.com/realestateandhomes-detail/12615-E-Admiral-Pl_Tulsa_OK_74116_M75774-58558</t>
  </si>
  <si>
    <t>Ehlen Rd NE</t>
  </si>
  <si>
    <t>Aurora</t>
  </si>
  <si>
    <t>OR</t>
  </si>
  <si>
    <t>https://www.realtytrac.com/property/or/aurora/97002/13533-ehlen-rd-ne/198371358/</t>
  </si>
  <si>
    <t>Original Ask: $399,000</t>
  </si>
  <si>
    <t>Crabtree Dr</t>
  </si>
  <si>
    <t>Crabtree</t>
  </si>
  <si>
    <t>Division Ave</t>
  </si>
  <si>
    <t>Drain</t>
  </si>
  <si>
    <t>https://www.zillow.com/homedetails/539-Division-Ave-Drain-OR-97435/2080049168_zpid/</t>
  </si>
  <si>
    <t>Originally listed for $149,000 on 16-Apr-2020 by All Oregon Property.</t>
  </si>
  <si>
    <t>Lamb St</t>
  </si>
  <si>
    <t>Milton-Freewater</t>
  </si>
  <si>
    <t>https://harcourtsusa.com/Property/2509704/19243079/1113-Lamb-ST</t>
  </si>
  <si>
    <t>Patrol St</t>
  </si>
  <si>
    <t>Molalla</t>
  </si>
  <si>
    <t>https://www.estately.com/listings/info/704-patrol-st--1</t>
  </si>
  <si>
    <t>Listed for $399,000 on 2 Apr 2018</t>
  </si>
  <si>
    <t>W Evans Creek Rd</t>
  </si>
  <si>
    <t>Rogue River</t>
  </si>
  <si>
    <t>https://www.realtytrac.com/property/or/rogue-river/97537/181-w-evans-creek-rd/187419351/</t>
  </si>
  <si>
    <t>Pine St</t>
  </si>
  <si>
    <t>Silverton</t>
  </si>
  <si>
    <t>https://www.estately.com/listings/info/1726-pine-st</t>
  </si>
  <si>
    <t>Listed for $475,000 on 23-Aug-2018</t>
  </si>
  <si>
    <t>Blue Valley Dr</t>
  </si>
  <si>
    <t>Bangor</t>
  </si>
  <si>
    <t>PA</t>
  </si>
  <si>
    <t>Chestnut St</t>
  </si>
  <si>
    <t>Barto</t>
  </si>
  <si>
    <t>https://www.loopnet.com/Listing/8221-Chestnut-St-Barto-PA/16846173/</t>
  </si>
  <si>
    <t>Irishtown Rd</t>
  </si>
  <si>
    <t>Bethel Park</t>
  </si>
  <si>
    <t>https://www.coldwellbankerhomes.com/pa/bethel-park/5822-irishtown-rd/pid_31479192/</t>
  </si>
  <si>
    <t>Listed: $413,000 on 2019-07-22; NIC 2019-08-11</t>
  </si>
  <si>
    <t>240-244</t>
  </si>
  <si>
    <t>Danville Road</t>
  </si>
  <si>
    <t>Bloomsburg</t>
  </si>
  <si>
    <t>https://www.weichert.com/81091104/</t>
  </si>
  <si>
    <t>Now  Vertech Engineering</t>
  </si>
  <si>
    <t>Bradford</t>
  </si>
  <si>
    <t>Now the Visiting Nurses of NW PA</t>
  </si>
  <si>
    <t>Wexford Run Road</t>
  </si>
  <si>
    <t>Bradfordwoods</t>
  </si>
  <si>
    <t>https://www.zillow.com/homedetails/4842-Wexford-Run-Rd-Bradfordwoods-PA-15015/104362872_zpid/</t>
  </si>
  <si>
    <t>Originally listed for $194,900 Article: https://www.post-gazette.com/life/homes/2006/04/01/Landmarks-in-the-woods-Bradford-Woods-schoolhouse-general-store-recall-borough-s-history/stories/200604010110</t>
  </si>
  <si>
    <t>Broad St</t>
  </si>
  <si>
    <t>Bristol</t>
  </si>
  <si>
    <t>Mercer Road</t>
  </si>
  <si>
    <t>Butler</t>
  </si>
  <si>
    <t>https://www.google.com/maps/place/932+Mercer+Rd,+Butler,+PA+16001/@40.9031049,-79.9290048,3a,75y,88.32h,90t/data=!3m6!1e1!3m4!1sNzeARF2PBmJo01vOAFD1Tg!2e0!7i16384!8i8192!4m5!3m4!1s0x88337cb70ec0feff:0x3d11791205fda1b8!8m2!3d40.9031266!4d-79.9286051</t>
  </si>
  <si>
    <t>Now the Church of God of Prophecy</t>
  </si>
  <si>
    <t>Morganza Rd</t>
  </si>
  <si>
    <t>Canonsburg</t>
  </si>
  <si>
    <t>Now the Dentica Inc dentist office</t>
  </si>
  <si>
    <t>Lindia Dr</t>
  </si>
  <si>
    <t>Chambersburg</t>
  </si>
  <si>
    <t>https://www.google.com/maps/place/630+Lindia+Dr,+Chambersburg,+PA+17201/@39.9470131,-77.6744148,3a,75y,170.71h,87.03t/data=!3m6!1e1!3m4!1sDS7lK9i49fTuB8wgRYpqQA!2e0!7i13312!8i6656!4m5!3m4!1s0x89c99dc7bb1000ab:0xe10e93ea3d673cd2!8m2!3d39.9470452!4d-77.6745949</t>
  </si>
  <si>
    <t>Now the Chambersburg Friends-Quakers Meeting- Church</t>
  </si>
  <si>
    <t>Elsinore Pl</t>
  </si>
  <si>
    <t>Chester</t>
  </si>
  <si>
    <t>https://www.realtor.com/realestateandhomes-detail/851-Elsinore-Pl_Chester_PA_19013_M34191-57726</t>
  </si>
  <si>
    <t>Listed for: $497,000 28-Nov-2010</t>
  </si>
  <si>
    <t>Nixon rd</t>
  </si>
  <si>
    <t>Cheswick</t>
  </si>
  <si>
    <t>https://www.coldwellbankerhomes.com/pa/cheswick/490-nixon-rd/pid_27539864/</t>
  </si>
  <si>
    <t>Arnold Ave</t>
  </si>
  <si>
    <t>Clearfiled</t>
  </si>
  <si>
    <t>https://www.xome.com/realestate/400-arnold-ave-clearfield-pa-16830-94555243</t>
  </si>
  <si>
    <t>Now the Living Hope Apostolic church</t>
  </si>
  <si>
    <t>Barren Hill Rd</t>
  </si>
  <si>
    <t>Conshohocken</t>
  </si>
  <si>
    <t>https://www.xome.com/realestate/140-barren-hill-rd-conshohocken-pa-19428-90820426</t>
  </si>
  <si>
    <t>Worth St</t>
  </si>
  <si>
    <t>Corry</t>
  </si>
  <si>
    <t>Foote Ave</t>
  </si>
  <si>
    <t>Duryea</t>
  </si>
  <si>
    <t>https://www.realtor.com/realestateandhomes-detail/Duryea_PA_18642_M39048-85994</t>
  </si>
  <si>
    <t>Originally listed for $250,000</t>
  </si>
  <si>
    <t>Sullivan Trl</t>
  </si>
  <si>
    <t>Easton</t>
  </si>
  <si>
    <t>https://www.google.com/maps/place/3411+Sullivan+Trail,+Easton,+PA+18040/@40.7380884,-75.2369759,3a,75y,65.36h,90t/data=!3m6!1e1!3m4!1sf585t0auUv3_bmXNmd2YpA!2e0!7i16384!8i8192!4m5!3m4!1s0x89c46eb005e31859:0xec3e598cf1bc16a5!8m2!3d40.7382058!4d-75.2366393</t>
  </si>
  <si>
    <t>Now the Fox Brothers Security Solutions</t>
  </si>
  <si>
    <t>West Main St</t>
  </si>
  <si>
    <t>Elkland</t>
  </si>
  <si>
    <t>https://www.zillow.com/homedetails/620-West-Main-Elkland-PA-16920/2089083600_zpid/</t>
  </si>
  <si>
    <t>W. 2nd St</t>
  </si>
  <si>
    <t>Erie</t>
  </si>
  <si>
    <t>https://www.zillow.com/homedetails/621-W-2nd-St-Erie-PA-16507/2118458836_zpid/</t>
  </si>
  <si>
    <t>NIC: 11-Aug-2019</t>
  </si>
  <si>
    <t>River Rd</t>
  </si>
  <si>
    <t>Erwinna, Upper Black Eddy</t>
  </si>
  <si>
    <t>https://www.coldwellbankerhomes.com/pa/erwinna/987-river-rd/pid_28151521/</t>
  </si>
  <si>
    <t>Listed: $380,000 on 30/12/2018</t>
  </si>
  <si>
    <t>Evans City</t>
  </si>
  <si>
    <t>W. State St</t>
  </si>
  <si>
    <t>https://www.xome.com/realestate/469-w-state-st-hamburg-pa-19526-95395673</t>
  </si>
  <si>
    <t>Now the Hamburg Family Dental</t>
  </si>
  <si>
    <t>Applebutter Rd</t>
  </si>
  <si>
    <t>Hellertown, Lower Saucon</t>
  </si>
  <si>
    <t>https://www.xome.com/commercial-for-sale/2550-Applebutter-Road-Lower-Saucon-Twp-PA-18055-303861025</t>
  </si>
  <si>
    <t>Listed for: $350,000 on 9-Apr-2019</t>
  </si>
  <si>
    <t>Thomas St</t>
  </si>
  <si>
    <t>Jersey Shore</t>
  </si>
  <si>
    <t>https://www.zillow.com/homedetails/325-Thomas-Jersey-Shore-PA-17740/2088724506_zpid/</t>
  </si>
  <si>
    <t>Walters Ave</t>
  </si>
  <si>
    <t>https://www.realtor.com/realestateandhomes-detail/404-Walters-Ave_Johnstown_PA_15904_M48363-97324</t>
  </si>
  <si>
    <t>originally listed for $139,900</t>
  </si>
  <si>
    <t>Ambridge Ave</t>
  </si>
  <si>
    <t>Leet Township</t>
  </si>
  <si>
    <t>https://www.coldwellbankerhomes.com/pa/leet-township/194-ambridge-ave/pid_31185371/</t>
  </si>
  <si>
    <t>Listed for: $240,000</t>
  </si>
  <si>
    <t>Mercer Grove City Rd</t>
  </si>
  <si>
    <t>Mercer</t>
  </si>
  <si>
    <t>https://www.zillow.com/homedetails/1431-Mercer-Grove-City-Rd-Mercer-PA-16137/125872519_zpid/</t>
  </si>
  <si>
    <t>N. Lafayette Ave</t>
  </si>
  <si>
    <t>Morrisville</t>
  </si>
  <si>
    <t>http://www.remaxcommercial.com/?p=findahome.asp&amp;listing=true&amp;mlsid=5605&amp;mlsnumber=1011376328</t>
  </si>
  <si>
    <t>E 4th St,</t>
  </si>
  <si>
    <t>Northampton</t>
  </si>
  <si>
    <t>https://www.loopnet.com/Listing/17-E-4th-St-Northampton-PA/14803673/</t>
  </si>
  <si>
    <t>Federal St</t>
  </si>
  <si>
    <t>Philadelphia</t>
  </si>
  <si>
    <t>https://www.google.com/maps/place/Jehovah's+Witnesses/@39.9352634,-75.1646317,15z/data=!4m5!3m4!1s0x0:0x997ab87b0c8d7d31!8m2!3d39.9352634!4d-75.1646317</t>
  </si>
  <si>
    <t>Made into apartments- https://www.google.com/maps/place/Jehovah's+Witnesses/@39.9352634,-75.1646317,15z/data=!4m5!3m4!1s0x0:0x997ab87b0c8d7d31!8m2!3d39.9352634!4d-75.1646317</t>
  </si>
  <si>
    <t>2309-2313</t>
  </si>
  <si>
    <t>N Broad St</t>
  </si>
  <si>
    <t>https://www.realtytrac.com/property/pa/philadelphia/19132/2309-2313-n-broad-st-2313/178210008/</t>
  </si>
  <si>
    <t>Purchased on 17-Feb-2011 for $725,000</t>
  </si>
  <si>
    <t>Ogontz Ave</t>
  </si>
  <si>
    <t>https://www.realtytrac.com/property/pa/philadelphia/19126/6719-ogontz-ave/178963428/</t>
  </si>
  <si>
    <t>Now the Bethesda Christian Fellowship church</t>
  </si>
  <si>
    <t>Point Breeze Ave</t>
  </si>
  <si>
    <t>https://www.coldwellbankerhomes.com/pa/philadelphia/1254-56-point-breeze-avenue/pid_22024446/</t>
  </si>
  <si>
    <t>Germantown Cong- Sold to developer and made into apartments</t>
  </si>
  <si>
    <t xml:space="preserve">Stenton Ave </t>
  </si>
  <si>
    <t>https://www.realtor.com/realestateandhomes-detail/8233-Stenton-Ave_Philadelphia_PA_19150_M30325-12292</t>
  </si>
  <si>
    <t>Now the Hope Rising Child</t>
  </si>
  <si>
    <t>Tabor Rd</t>
  </si>
  <si>
    <t>https://www.realtor.com/realestateandhomes-detail/307-W-Tabor-Rd_Philadelphia_PA_19120_M46422-35405</t>
  </si>
  <si>
    <t>Now a church</t>
  </si>
  <si>
    <t>W. Allegheny Ave</t>
  </si>
  <si>
    <t>https://www.realtor.com/realestateandhomes-detail/2314-E-Allegheny-Ave_Philadelphia_PA_19134_M47520-73303</t>
  </si>
  <si>
    <t>Now the New Joy Missionary Baptist church</t>
  </si>
  <si>
    <t>W. Clearfield St</t>
  </si>
  <si>
    <t>https://www.xome.com/realestate/2921-w-clearfield-st-philadelphia-pa-19132-91692658</t>
  </si>
  <si>
    <t>Now a child daycare</t>
  </si>
  <si>
    <t xml:space="preserve">W. Hortter  st </t>
  </si>
  <si>
    <t>Now Joa Mart</t>
  </si>
  <si>
    <t>N. 26th st</t>
  </si>
  <si>
    <t>Philadephia</t>
  </si>
  <si>
    <t>https://megasupplypro.com/projects/1539-n-26th-street</t>
  </si>
  <si>
    <t>Tore down and apartment building going up</t>
  </si>
  <si>
    <t>Brookline Blvd</t>
  </si>
  <si>
    <t>Pittsburgh</t>
  </si>
  <si>
    <t>https://www.realtor.com/realestateandhomes-detail/1462-Brookline-Blvd_Pittsburgh_PA_15226_M96212-46672</t>
  </si>
  <si>
    <t>Dollman Rd</t>
  </si>
  <si>
    <t>https://www.coldwellbankerhomes.com/pa/pittsburgh/7901-dollman-rd/pid_33503371/</t>
  </si>
  <si>
    <t>Pierson Run Road</t>
  </si>
  <si>
    <t>Plum</t>
  </si>
  <si>
    <t>https://www.realtytrac.com/property/pa/pittsburgh/15239/801-pierson-run-rd/179176672/</t>
  </si>
  <si>
    <t>Estate left to Watchtower (Residence)</t>
  </si>
  <si>
    <t>W. Mountain Rd</t>
  </si>
  <si>
    <t xml:space="preserve">Plymouth </t>
  </si>
  <si>
    <t>https://www.xome.com/realestate/433-w-mountain-rd-plymouth-pa-18651-146606805</t>
  </si>
  <si>
    <t>JW left her estate to Watchtower- This was her home &amp; sold. Money went to WT</t>
  </si>
  <si>
    <t>W. 8th St</t>
  </si>
  <si>
    <t>Pottstown</t>
  </si>
  <si>
    <t>https://www.realtor.com/realestateandhomes-detail/59-W-8th-St_Pottstown_PA_19464_M37774-53317</t>
  </si>
  <si>
    <t>Ekastown Rd</t>
  </si>
  <si>
    <t>Saxonburg</t>
  </si>
  <si>
    <t>https://www.coldwellbankerhomes.com/pa/saxonburg-boro/1046-ekastown-rd/pid_34092740/</t>
  </si>
  <si>
    <t>Listed for $245,000 on 19-Dec-2019</t>
  </si>
  <si>
    <t>Pitney St</t>
  </si>
  <si>
    <t>Sayre</t>
  </si>
  <si>
    <t>https://www.xome.com/realestate/62-pitney-st-sayre-pa-18840-92144573</t>
  </si>
  <si>
    <t>Sold to Child day care</t>
  </si>
  <si>
    <t>W. College Ave</t>
  </si>
  <si>
    <t>State College</t>
  </si>
  <si>
    <t>https://www.xome.com/realestate/3450-w-college-ave-state-college-pa-16801-92264788</t>
  </si>
  <si>
    <t>Sold to Worth Mechanical Engineers</t>
  </si>
  <si>
    <t>Schuylkill Ave</t>
  </si>
  <si>
    <t>Tamaqua</t>
  </si>
  <si>
    <t>https://www.xome.com/realestate/521-schuylkill-ave-tamaqua-pa-18252-93804754</t>
  </si>
  <si>
    <t xml:space="preserve">Originally listed for $109,000. </t>
  </si>
  <si>
    <t>Green Street</t>
  </si>
  <si>
    <t>Tremont</t>
  </si>
  <si>
    <t>https://www.coldwellbankerhomes.com/central-pennsylvania/401-green-st/pid_33006975/</t>
  </si>
  <si>
    <t>Originally listed for $200000</t>
  </si>
  <si>
    <t>Route 512</t>
  </si>
  <si>
    <t>Washington Park</t>
  </si>
  <si>
    <t>I couldn't find the property listing because it's gone</t>
  </si>
  <si>
    <t>Foster road</t>
  </si>
  <si>
    <t>White Oak</t>
  </si>
  <si>
    <t>https://www.xome.com/realestate/3535-foster-rd-white-oak-pa-15131-93909306</t>
  </si>
  <si>
    <t>Now is the Shekinah Tabernacle Church</t>
  </si>
  <si>
    <t xml:space="preserve">S. Belvidere Ave </t>
  </si>
  <si>
    <t>York</t>
  </si>
  <si>
    <t>https://www.google.com/maps/place/270+S+Belvidere+Ave,+York,+PA+17401/@39.9529838,-76.7430569,3a,75y,201.08h,93.8t/data=!3m6!1e1!3m4!1saiIY2oHuGHwgzYPgae_aLA!2e0!7i16384!8i8192!4m5!3m4!1s0x89c88c0791fae45b:0xf3c816411313ca1f!8m2!3d39.9530361!4d-76.7433577</t>
  </si>
  <si>
    <t>Sold to York 7th Day Adventist church</t>
  </si>
  <si>
    <t>Warner Dr</t>
  </si>
  <si>
    <t>Columbia</t>
  </si>
  <si>
    <t>SC</t>
  </si>
  <si>
    <t>https://www.realtor.com/realestateandhomes-detail/120-Warner-Dr_Columbia_SC_29223_M99251-86719</t>
  </si>
  <si>
    <t>Sold twice in the same year. Second sale on Jun 18, 2019 for $315,000 (probably not a JW sale)</t>
  </si>
  <si>
    <t>20791 76</t>
  </si>
  <si>
    <t>Ranch Rd</t>
  </si>
  <si>
    <t>Sturgis</t>
  </si>
  <si>
    <t>SD</t>
  </si>
  <si>
    <t>Current Owner: Marta's DEADWOOD doghouse</t>
  </si>
  <si>
    <t>Highway 63</t>
  </si>
  <si>
    <t>Cumberland</t>
  </si>
  <si>
    <t>TN</t>
  </si>
  <si>
    <t>https://www.trulia.com/p/tn/cumberland-gap/1230-highway-63-cumberland-gap-tn-37724--2040432436</t>
  </si>
  <si>
    <t>Originally listed for $289,000</t>
  </si>
  <si>
    <t>Benbrook</t>
  </si>
  <si>
    <t>TX</t>
  </si>
  <si>
    <t>Original List Price: $455,000</t>
  </si>
  <si>
    <t>Gazelle Ave</t>
  </si>
  <si>
    <t>Brownsville</t>
  </si>
  <si>
    <t>North West Loop 304</t>
  </si>
  <si>
    <t>Crockett</t>
  </si>
  <si>
    <t>W 4th St</t>
  </si>
  <si>
    <t>El Campo</t>
  </si>
  <si>
    <t>W Main St</t>
  </si>
  <si>
    <t>https://www.zillow.com/homedetails/626-W-Main-St-Fairfield-TX-75840/2089836751_zpid/</t>
  </si>
  <si>
    <t>Originally listed on 27-Apr-2018 for $330,000 on MyCo Realty.</t>
  </si>
  <si>
    <t>7th St</t>
  </si>
  <si>
    <t>Houston</t>
  </si>
  <si>
    <t>https://www.enrichedrealestate.com/11914-7Th-St-Houston-TX-77072/InstitutionalSpecialPurposeBuildings/Religious/Id=131253</t>
  </si>
  <si>
    <t>Price is a 'Guesstimate'. Buyer: IGLESIA DE JESUCRISTO PALABRA</t>
  </si>
  <si>
    <t>E Cruse Rd</t>
  </si>
  <si>
    <t>https://www.movoto.com/houston-tx/4934-e-cruse-houston-tx-77016-403_12872524/</t>
  </si>
  <si>
    <t>Original Listing: $135,000.  Buyer: Prayer Time Community Church</t>
  </si>
  <si>
    <t>FM1314</t>
  </si>
  <si>
    <t>Porter</t>
  </si>
  <si>
    <t>https://www.realtor.com/realestateandhomes-detail/23788-Fm-1314-Rd_Porter_TX_77365_M87217-89450</t>
  </si>
  <si>
    <t>E Ashley Rd</t>
  </si>
  <si>
    <t>San Antonio</t>
  </si>
  <si>
    <t>https://www.zillow.com/homedetails/550-E-Ashley-Rd-San-Antonio-TX-78221/102455157_zpid/</t>
  </si>
  <si>
    <t>Hobart St</t>
  </si>
  <si>
    <t>https://www.zillow.com/homedetails/224-Hobart-St-San-Antonio-TX-78237/102488560_zpid/</t>
  </si>
  <si>
    <t>Used sale price from Kimmy's list</t>
  </si>
  <si>
    <t>Pleasanton Rd</t>
  </si>
  <si>
    <t>https://www.movoto.com/san-antonio-tx/4509-pleasanton-rd-san-antonio-tx-78221-401_1287465/</t>
  </si>
  <si>
    <t>Buyer: True Believer's Praise &amp; Worship Sanctuary</t>
  </si>
  <si>
    <t>Norton</t>
  </si>
  <si>
    <t>Texarkana</t>
  </si>
  <si>
    <t>https://www.hairerealty.com/-/listing/AR-TBOR/100437/3003-Norton-Texarkana-TX-75503</t>
  </si>
  <si>
    <t>Originally listed for $115,000</t>
  </si>
  <si>
    <t>E. 8th Street</t>
  </si>
  <si>
    <t>Van Horn</t>
  </si>
  <si>
    <t>https://www.realtor.com/realestateandhomes-detail/205-E-8th-St_Van-Horn_TX_79855_M83393-65246</t>
  </si>
  <si>
    <t>W Hwy 90</t>
  </si>
  <si>
    <t>Weimar</t>
  </si>
  <si>
    <t>https://www.xome.com/commercial-for-sale/1189-W-hwy-90-Other-TX-78962-326896366</t>
  </si>
  <si>
    <t>Bell Dr</t>
  </si>
  <si>
    <t>Danville</t>
  </si>
  <si>
    <t>VA</t>
  </si>
  <si>
    <t>https://www.google.com/maps/place/207+Bell+Dr,+Danville,+VA+24541/@36.5615633,-79.4169525,3a,75y,59.78h,78.41t/data=!3m8!1e1!3m6!1s3tmAXCUlznh4yPTUFJurBw!2e0!3e11!6s%2F%2Fgeo0.ggpht.com%2Fmaps%2Fphotothumb%2Ffd%2Fv1%3Fbpb%3DChEKD3NlYXJjaC5nd3MtcHJvZBJmCjgJj94dX4S0UogR-zmgk5CR144aJAsQ04W4QhobEhkKFAoSCY_eHV-EtFKIEcDsVNmrQDRlEM8BDBIKDbXZyhUVu-6p0BoSCUeNamSEtFKIEdYcKpxB0AMeKgoNtdnKFRW77qnQGgUIeBDoAg%26gl%3DUS!7i13312!8i6656!4m5!3m4!1s0x8852b4845f1dde8f:0x8ed7919093a039fb!8m2!3d36.5615541!4d-79.4169669</t>
  </si>
  <si>
    <t>Sold to Christian Life Baptist Church</t>
  </si>
  <si>
    <t>Terry Ave</t>
  </si>
  <si>
    <t>https://www.realtytrac.com/property/va/danville/24540/300-terry-ave/214784472/</t>
  </si>
  <si>
    <t>Sold to Mount Carmel Church</t>
  </si>
  <si>
    <t>John Clayton Memorial Highway</t>
  </si>
  <si>
    <t>Gloucester</t>
  </si>
  <si>
    <t>https://www.howardhanna.com/Property/Detail/7840-John-Clayton-Memorial-HWY-Gloucester-VA-23061/REIN/10313115</t>
  </si>
  <si>
    <t>Walton Park Ln</t>
  </si>
  <si>
    <t>Midlothian</t>
  </si>
  <si>
    <t>https://www.loopnet.com/Listing/131-Walton-Park-Ln-Midlothian-VA/19294114/</t>
  </si>
  <si>
    <t>On Kimmy's list. Used video date as listing date.</t>
  </si>
  <si>
    <t>8th St</t>
  </si>
  <si>
    <t>Richmond</t>
  </si>
  <si>
    <t>https://www.loopnet.com/Listing/4305-8th-St-Richmond-VA/19341151/</t>
  </si>
  <si>
    <t>Whitney Ave NW</t>
  </si>
  <si>
    <t>Roanoke</t>
  </si>
  <si>
    <t>https://www.roanoke.com/business/real-estate-transfers-for-july/article_0950dab1-e023-5eca-8437-f379ccc5dfa3.html</t>
  </si>
  <si>
    <t>Sold via Pinnacle Property Options LLC to New Harvest Family Worship Center</t>
  </si>
  <si>
    <t>State Route 530 NE</t>
  </si>
  <si>
    <t>Arlington-Darrington</t>
  </si>
  <si>
    <t>https://www.redfin.com/WA/Arlington/44211-State-Rte-530-NE-98223/home/40429374</t>
  </si>
  <si>
    <t>Sunburst Ln</t>
  </si>
  <si>
    <t>Cashmere</t>
  </si>
  <si>
    <t>https://www.xome.com/realestate/5862-sunburst-ln-cashmere-wa-98815-15251839</t>
  </si>
  <si>
    <t>Harrison Ave</t>
  </si>
  <si>
    <t>Centralia</t>
  </si>
  <si>
    <t>Kennicott Rd</t>
  </si>
  <si>
    <t>Chehalis</t>
  </si>
  <si>
    <t>https://www.realtytrac.com/property/wa/chehalis/98532/144-kennicott-rd/34149525/</t>
  </si>
  <si>
    <t>W Morris Rd</t>
  </si>
  <si>
    <t>Coupeville</t>
  </si>
  <si>
    <t>https://www.zillow.com/homedetails/331-W-Morris-Rd-Coupeville-WA-98239/2079642623_zpid/?</t>
  </si>
  <si>
    <t>Original Listing: $624,990 on 28-Jul-2019; https://www.xome.com/commercial-for-sale/331-W-Morris-Rd-Coupeville-WA-98239-314801427; Price updated and new link published.</t>
  </si>
  <si>
    <t>N Enterprise Rd</t>
  </si>
  <si>
    <t>Ferndale</t>
  </si>
  <si>
    <t>https://www.realliving.com/commercial-for-sale/7053-N-Enterprise-Rd-Ferndale-WA-98248-289642602</t>
  </si>
  <si>
    <t>I tried searching this via parcel/tax info for Whatcom county via assessor/treasurer department but wasn’t able to find more info. See also: https://www.zillow.com/homedetails/7053-Enterprise-Rd-Ferndale-WA-98248/2081427764_zpid/?</t>
  </si>
  <si>
    <t>Coal Creek rd</t>
  </si>
  <si>
    <t>Longview</t>
  </si>
  <si>
    <t>https://www.realtor.com/realestateandhomes-detail/821-Coal-Creek-Rd_Longview_WA_98632_M13236-60645</t>
  </si>
  <si>
    <t>S. Jacob Miller rd</t>
  </si>
  <si>
    <t>Port Townsend</t>
  </si>
  <si>
    <t>https://www.xome.com/realestate/1112-s-jacob-miller-rd-port-townsend-wa-98368-122226408</t>
  </si>
  <si>
    <t>Made into a house</t>
  </si>
  <si>
    <t>S. Clark Ave</t>
  </si>
  <si>
    <t>Republic</t>
  </si>
  <si>
    <t>https://www.xome.com/realestate/1339-s-clark-ave-republic-wa-99166-110882941</t>
  </si>
  <si>
    <t>Sold to Lakeview Bible Church</t>
  </si>
  <si>
    <t>N 56th St</t>
  </si>
  <si>
    <t>Seattle</t>
  </si>
  <si>
    <t>https://www.coldwellbankerbain.com/p/2214-N-56th-St-Seattle-WA-98103/dmgid_136615135</t>
  </si>
  <si>
    <t>S. 128th St</t>
  </si>
  <si>
    <t>https://www.realtytrac.com/property/wa/seattle/98168/228-s-128th-st/33799512/</t>
  </si>
  <si>
    <t>Sold to Restoration Bible church</t>
  </si>
  <si>
    <t>SW College St</t>
  </si>
  <si>
    <t>https://www.realtytrac.com/property/wa/seattle/98116/4409-sw-college-st/186024599/</t>
  </si>
  <si>
    <t>Unknown sale date or sale amount. Estimated assessment 2017 is $739,700</t>
  </si>
  <si>
    <t>Quail ln</t>
  </si>
  <si>
    <t>Selah</t>
  </si>
  <si>
    <t>https://www.xome.com/realestate/21-quail-meadow-ln-selah-wa-98942-112365068</t>
  </si>
  <si>
    <t>E. Empire ave</t>
  </si>
  <si>
    <t>Spokane</t>
  </si>
  <si>
    <t>https://www.google.com/maps/place/11912+E+Empire+Ave,+Spokane+Valley,+WA+99206/@47.6906703,-117.2452982,3a,75y,166.2h,90t/data=!3m6!1e1!3m4!1s__JIfVOan6Ox7NU5VskMwA!2e0!7i16384!8i8192!4m5!3m4!1s0x549e1ffdc4058d77:0xb4f577c2e4f1e80d!8m2!3d47.6904344!4d-117.2452087</t>
  </si>
  <si>
    <t>Sold to Portico Christian Church</t>
  </si>
  <si>
    <t>Pratt Ave</t>
  </si>
  <si>
    <t>https://www.google.com/maps/place/4249+E+Pratt+Ave,+Spokane,+WA+99202/@47.6466455,-117.347563,3a,75y,26.91h,90t/data=!3m6!1e1!3m4!1syK9EP8PxT6p6FPPlytOf3A!2e0!7i13312!8i6656!4m5!3m4!1s0x549e221b31a36de1:0x1ce39d4e048367c8!8m2!3d47.646899!4d-117.347337</t>
  </si>
  <si>
    <t>Cannot find a property listing- But sold to Enleaf Web Design Marketing</t>
  </si>
  <si>
    <t>N. Stevens st</t>
  </si>
  <si>
    <t xml:space="preserve">Spokane </t>
  </si>
  <si>
    <t>https://www.realliving.com/homes-for-sale/9622-N-Stevens-St-Spokane-WA-99218-287732127</t>
  </si>
  <si>
    <t>E. Sprague ave</t>
  </si>
  <si>
    <t>Spokane Valley</t>
  </si>
  <si>
    <t>https://liverealestate.com/homes-for-sale-sold-details/15704-E-SPRAGUE-AVE-SPOKANE-VALLEY-WA-99037/201727041/220/</t>
  </si>
  <si>
    <t>Sold to 4 Seasons Sunrooms</t>
  </si>
  <si>
    <t>N. 11th st</t>
  </si>
  <si>
    <t>Sunnyside</t>
  </si>
  <si>
    <t>https://www.xome.com/realestate/345-n-11th-st-sunnyside-wa-98944-114618456</t>
  </si>
  <si>
    <t>Sold to Funeral Home</t>
  </si>
  <si>
    <t>Yakima Ave</t>
  </si>
  <si>
    <t>Tacoma</t>
  </si>
  <si>
    <t>https://epip.co.pierce.wa.us/CFApps/atr/ePIP/sales.cfm?parcel=5575000090</t>
  </si>
  <si>
    <t>The link I provided is from our counties parcel/tax records which shows the congregation name and the buyer as well as the price sold and date of sale.</t>
  </si>
  <si>
    <t>Coppei Ave</t>
  </si>
  <si>
    <t>Waitsburg</t>
  </si>
  <si>
    <t>https://www.coldwellbankerbain.com/p/122-Coppei-Ave-Waitsburg-WA-99361/dmgid_129301754</t>
  </si>
  <si>
    <t>Originally listed for $272,000</t>
  </si>
  <si>
    <t>NW Manor Rd</t>
  </si>
  <si>
    <t>Wapato</t>
  </si>
  <si>
    <t>https://www.xome.com/commercial-for-sale/280-NW-Manor-Rd-Wapato-WA-98951-262261380</t>
  </si>
  <si>
    <t>This Kingdom Hall was originally listed for $330,000</t>
  </si>
  <si>
    <t>Methow St</t>
  </si>
  <si>
    <t>Wenatchee</t>
  </si>
  <si>
    <t>https://www.realtor.com/realestateandhomes-detail/1321-Methow-St_Wenatchee_WA_98801_M21295-85779</t>
  </si>
  <si>
    <t>The two congregations that met here were merged with a congregation at another hall. Three congregations were merged into two.</t>
  </si>
  <si>
    <t>Mapleview Road</t>
  </si>
  <si>
    <t>Yakima</t>
  </si>
  <si>
    <t>https://www.loopnet.com/Listing/17201537/2521-Mapleway-Rd-Yakima-WA/</t>
  </si>
  <si>
    <t>Sold to Foursquare church</t>
  </si>
  <si>
    <t>McKinley Ave</t>
  </si>
  <si>
    <t>https://www.xome.com/realestate/1614-mckinley-ave-yakima-wa-98902-112677819</t>
  </si>
  <si>
    <t>Sold to Korean Presbyterian Church</t>
  </si>
  <si>
    <t>W. Mead</t>
  </si>
  <si>
    <t>https://www.xome.com/realestate/2506-w-mead-ave-yakima-wa-98902-111085515</t>
  </si>
  <si>
    <t>W. Nob Hill Blvd</t>
  </si>
  <si>
    <t>https://www.realtor.com/realestateandhomes-detail/112-W-Nob-Hill-Blvd_Yakima_WA_98902_M91914-48057</t>
  </si>
  <si>
    <t>Center St</t>
  </si>
  <si>
    <t>Antigo</t>
  </si>
  <si>
    <t>WI</t>
  </si>
  <si>
    <t>https://www.realtor.com/realestateandhomes-detail/710-Center-St_Antigo_WI_54409_M78960-05237</t>
  </si>
  <si>
    <t xml:space="preserve">Homestead Church bought it. </t>
  </si>
  <si>
    <t>133rd St</t>
  </si>
  <si>
    <t>Chippewa Falls, Hallie</t>
  </si>
  <si>
    <t>https://www.coldwellbankerhomes.com/wi/hallie/4668-133rd-st/pid_29499124/</t>
  </si>
  <si>
    <t>Bridge st</t>
  </si>
  <si>
    <t>Cornell</t>
  </si>
  <si>
    <t>https://www.trulia.com/p/wi/cornell/1416-bridge-st-cornell-wi-54732--2055005712</t>
  </si>
  <si>
    <t>Greenleaf rd</t>
  </si>
  <si>
    <t>De Pere</t>
  </si>
  <si>
    <t>https://www.google.com/maps/@44.4182466,-88.0772172,3a,75y,117.47h,87.1t/data=!3m7!1e1!3m5!1s29w8Av1T6yGx_P7NJG_Irg!2e0!5s20090901T000000!7i13312!8i6656</t>
  </si>
  <si>
    <t>Bought by the Destiny Church</t>
  </si>
  <si>
    <t>N. Genesee st</t>
  </si>
  <si>
    <t>Delafield</t>
  </si>
  <si>
    <t>https://www.mapquest.com/us/wisconsin/kingdom-hall-of-jehovahs-witnesses-354764143</t>
  </si>
  <si>
    <t>Sold to the St Michael's Angelican church- https://stmichaelswi.org/new-location</t>
  </si>
  <si>
    <t>State Hwy 49</t>
  </si>
  <si>
    <t>Eland</t>
  </si>
  <si>
    <t>https://www.movoto.com/eland-wi/1086-state-highway-49-eland-wi-54427/pid_k28z0nmhqh/</t>
  </si>
  <si>
    <t>W5696</t>
  </si>
  <si>
    <t>Schmidt Rd</t>
  </si>
  <si>
    <t xml:space="preserve">Elkhorn </t>
  </si>
  <si>
    <t>https://www.xome.com/commercial-for-sale/W5696-Schmidt-Rd-Elkhorn-WI-53121-314864488</t>
  </si>
  <si>
    <t>State HWY 38</t>
  </si>
  <si>
    <t>Franksville</t>
  </si>
  <si>
    <t>https://www.crexi.com/properties/254103/wisconsin-6767-hwy-38</t>
  </si>
  <si>
    <t>W20598</t>
  </si>
  <si>
    <t>McKeeth Dr</t>
  </si>
  <si>
    <t xml:space="preserve">Galesville </t>
  </si>
  <si>
    <t>https://www.coldwellbankerhomes.com/chicago-milwaukee/w20598-mckeeth-dr/pid_27942110/</t>
  </si>
  <si>
    <t>N120W21580</t>
  </si>
  <si>
    <t>Freistadt Rd</t>
  </si>
  <si>
    <t>Germantown</t>
  </si>
  <si>
    <t>https://www.zillow.com/homedetails/N120w21580-Freistadt-Germantown-WI-53022/2081540047_zpid/</t>
  </si>
  <si>
    <t>Buyer: Faith Journey Church</t>
  </si>
  <si>
    <t>1st street</t>
  </si>
  <si>
    <t>Glenwood City</t>
  </si>
  <si>
    <t>https://www.coldwellbankerhomes.com/wi/glenwood-city/810-1st-st/pid_31167552/</t>
  </si>
  <si>
    <t>S. 43rd st</t>
  </si>
  <si>
    <t>https://www.realtor.com/realestateandhomes-detail/5075-S-43rd-St_Greenfield_WI_53220_M80371-54472</t>
  </si>
  <si>
    <t>Bought by the Guidance Counseling Inc</t>
  </si>
  <si>
    <t>Keller Ln</t>
  </si>
  <si>
    <t>Kiel</t>
  </si>
  <si>
    <t>https://cornerstone.weichert.com/78227996/</t>
  </si>
  <si>
    <t>Medco Ct</t>
  </si>
  <si>
    <t>LaCrosse</t>
  </si>
  <si>
    <t>https://www.realtor.com/realestateandhomes-detail/3059-Medco-Ct_La-Crosse_WI_54601_M70624-20764</t>
  </si>
  <si>
    <t>Sold to Coulee Rock church</t>
  </si>
  <si>
    <t>Mannville Ln</t>
  </si>
  <si>
    <t>https://www.loopnet.com/Listing/3214-Mannville-Ln-Marshfield-WI/16875229/</t>
  </si>
  <si>
    <t>W. Arnold st</t>
  </si>
  <si>
    <t>https://www.yellowpages.com/marshfield-wi/mip/park-view-pet-motel-548202135</t>
  </si>
  <si>
    <t>Bought by Pet Boarding Kennel</t>
  </si>
  <si>
    <t>N3540</t>
  </si>
  <si>
    <t>State Rd 58</t>
  </si>
  <si>
    <t>Mauston</t>
  </si>
  <si>
    <t>https://www.google.com/maps/place/N3540+WI-58,+Mauston,+WI+53948/@43.7686881,-90.0774434,3a,75y,109.2h,88.8t/data=!3m6!1e1!3m4!1sX_Lib2BTSLLVZGXdIjlX8w!2e0!7i3328!8i1664!4m5!3m4!1s0x87fdfddf1758397b:0x3ff61df03054bdca!8m2!3d43.7683508!4d-90.0764225</t>
  </si>
  <si>
    <t>Sold to a Chiropractor office</t>
  </si>
  <si>
    <t>N48W14384</t>
  </si>
  <si>
    <t>Hampton ave</t>
  </si>
  <si>
    <t>Menomonee Falls</t>
  </si>
  <si>
    <t>https://www.atproperties.com/commercial/1195960/n48w14384-hampton-ave-menomonee-falls-wisconsin-53051-swi</t>
  </si>
  <si>
    <t>N Port Washington Rd</t>
  </si>
  <si>
    <t>Milwaukee</t>
  </si>
  <si>
    <t>https://www.realtytrac.com/property/wi/milwaukee/53212/3879-n-port-washington-rd/35134759/</t>
  </si>
  <si>
    <t>Now is the Grace Fellowship Church</t>
  </si>
  <si>
    <t>County Hwy Q</t>
  </si>
  <si>
    <t>New Auburn</t>
  </si>
  <si>
    <t>https://www.realtor.com/realestateandhomes-detail/23648-County-Highway-Q_New-Auburn_WI_54757_M76338-60302</t>
  </si>
  <si>
    <t>Converted to a house</t>
  </si>
  <si>
    <t>Kearney Ave</t>
  </si>
  <si>
    <t>Racine</t>
  </si>
  <si>
    <t>https://www.coldwellbankerhomes.com/wi/racine/3309-kearney-ave/pid_290893/</t>
  </si>
  <si>
    <t>Reedsburg</t>
  </si>
  <si>
    <t>https://www.xome.com/commercial-for-sale/850-Clark-St-Reedsburg-WI-53959-297491195</t>
  </si>
  <si>
    <t>Listed for $475,000 on 29-Jan-2019. Buyer: Five Solas Church</t>
  </si>
  <si>
    <t>N4777</t>
  </si>
  <si>
    <t>Rio</t>
  </si>
  <si>
    <t>https://www.coldwellbankerhomes.com/chicago-milwaukee/n4777-elm-st/pid_18132518/</t>
  </si>
  <si>
    <t>Buyer: Faith Bible Church</t>
  </si>
  <si>
    <t>Tower dr</t>
  </si>
  <si>
    <t>Sun Prairie</t>
  </si>
  <si>
    <t>https://www.xome.com/commercial-for-sale/51-Tower-Dr-Sun-Prairie-WI-53590-297490493</t>
  </si>
  <si>
    <t>Faxon</t>
  </si>
  <si>
    <t>Superior</t>
  </si>
  <si>
    <t>https://www.coldwellbankerhomes.com/chicago-milwaukee/603-faxon-st/pid_33507235/</t>
  </si>
  <si>
    <t>Bought by church. Is up for sale again $199,000</t>
  </si>
  <si>
    <t>State Highway 131</t>
  </si>
  <si>
    <t>Tomah</t>
  </si>
  <si>
    <t>https://www.coldwellbankerhomes.com/wi/tomah/18571-state-highway-131/pid_1325354/</t>
  </si>
  <si>
    <t>45th Street</t>
  </si>
  <si>
    <t xml:space="preserve">Two Rivers </t>
  </si>
  <si>
    <t>https://www.coldwellbankerhomes.com/wi/two-rivers/2717-45th-st/pid_33821842/</t>
  </si>
  <si>
    <t>Washington Ave</t>
  </si>
  <si>
    <t>Union Grove</t>
  </si>
  <si>
    <t>https://www.trulia.com/p/wi/union-grove/14909-washington-ave-union-grove-wi-53182--2054112583</t>
  </si>
  <si>
    <t>Chicago Ave</t>
  </si>
  <si>
    <t>Viroqua</t>
  </si>
  <si>
    <t>https://www.redfin.com/WI/Viroqua/720-Chicago-Ave-54665/home/57994974</t>
  </si>
  <si>
    <t>Johnston Dr</t>
  </si>
  <si>
    <t>Wanitowoc</t>
  </si>
  <si>
    <t>https://www.loopnet.com/Listing/20058935/2005-Johnston-Dr-Manitowoc-WI/</t>
  </si>
  <si>
    <t>Wausau</t>
  </si>
  <si>
    <t>https://www.loopnet.com/Listing/18104025/1719-N-3rd-Avenue-Wausau-WI/</t>
  </si>
  <si>
    <t>Can't find a price</t>
  </si>
  <si>
    <t>Hartley Ave</t>
  </si>
  <si>
    <t>Beckley</t>
  </si>
  <si>
    <t>WV</t>
  </si>
  <si>
    <t xml:space="preserve">Bought by Karen's Academy of Dance, but no other information was found.  </t>
  </si>
  <si>
    <t>Tallmansville Rd</t>
  </si>
  <si>
    <t>Buckhannon</t>
  </si>
  <si>
    <t>https://www.xome.com/commercial-for-sale/439-Tallmansville-Road-Buckhannon-WV-26201-256176953</t>
  </si>
  <si>
    <t>Rear Route 60</t>
  </si>
  <si>
    <t>Culloden</t>
  </si>
  <si>
    <t>https://www.realtor.com/realestateandhomes-detail/1906-Rear-Route-60_Huntington_WV_25701_M44690-70474</t>
  </si>
  <si>
    <t>Wood Dr</t>
  </si>
  <si>
    <t>Huntington</t>
  </si>
  <si>
    <t xml:space="preserve">Cannot find any sales info.  The congregation might have bought a new K.H. New address w/ different zip code listed online and is active.  </t>
  </si>
  <si>
    <t>Flythe Street</t>
  </si>
  <si>
    <t>Kingwood</t>
  </si>
  <si>
    <t>https://www.realtor.com/realestateandhomes-detail/102-Flythe-St_Kingwood_WV_26537_M44222-90683</t>
  </si>
  <si>
    <t xml:space="preserve">The property looks like it was remodeled into a private home.  Not sure if this is an accurate address from the list.  </t>
  </si>
  <si>
    <t>Willywood Ave</t>
  </si>
  <si>
    <t>Oak Hill</t>
  </si>
  <si>
    <t>https://www.google.com/maps/place/135+Willywood+Ave,+Oak+Hill,+WV+25901/@37.9821028,-81.1360365,3a,75y,4.31h,83.97t/data=!3m6!1e1!3m4!1srDpYqKqnnRmpboEyBKrI6Q!2e0!7i13312!8i6656!4m5!3m4!1s0x884ebfd8aadaba19:0xdb2ee9b3c30372ab!8m2!3d37.9823026!4d-81.1361974</t>
  </si>
  <si>
    <t xml:space="preserve">Found a picture of the building at this address, it looks like a kingdom hall, but no information was available as to any sales listing or previous sales.  It is closed, and no other businesses are listed for this address.  </t>
  </si>
  <si>
    <t>Old Athens Rd</t>
  </si>
  <si>
    <t>Princeton</t>
  </si>
  <si>
    <t>Grand Central Ave</t>
  </si>
  <si>
    <t>Ripley</t>
  </si>
  <si>
    <t>https://www.trulia.com/p/wv/ripley/118-grand-central-ave-ripley-wv-25271--2023240118</t>
  </si>
  <si>
    <t>Ole Main Plaza</t>
  </si>
  <si>
    <t>St Albans</t>
  </si>
  <si>
    <t>https://www.zillow.com/homedetails/65-Old-Main-Plz-Saint-Albans-WV-25177/125182930_zpid/</t>
  </si>
  <si>
    <t>Currently owned by Alban Arts Center</t>
  </si>
  <si>
    <t>Summerville</t>
  </si>
  <si>
    <t>http://www.remaxcommercial.com/?p=findahome.asp&amp;listing=true&amp;mlsid=3465&amp;mlsnumber=2020</t>
  </si>
  <si>
    <t>Route 20</t>
  </si>
  <si>
    <t>Webster Springs</t>
  </si>
  <si>
    <t>Weir Ave</t>
  </si>
  <si>
    <t>Weirton</t>
  </si>
  <si>
    <t>https://www.zillow.com/homedetails/3176-Weir-Ave-Weirton-WV-26062/219401815_zpid/</t>
  </si>
  <si>
    <t>Looks like it is owned by Christ The King Family Worship Center</t>
  </si>
  <si>
    <t>Edgington ln</t>
  </si>
  <si>
    <t>Wheeling</t>
  </si>
  <si>
    <t>https://www.freerehabcenters.org/details/healthways-inc-miracles-happen</t>
  </si>
  <si>
    <t>A Rehab center bought it</t>
  </si>
  <si>
    <t>Hemlock St</t>
  </si>
  <si>
    <t>WY</t>
  </si>
  <si>
    <t>https://reviews.birdeye.com/uti-united-states-inc-721608000</t>
  </si>
  <si>
    <t>Sold to UTI Trucking Inc</t>
  </si>
  <si>
    <t>29th St</t>
  </si>
  <si>
    <t>Cody</t>
  </si>
  <si>
    <t>https://www.realtor.com/realestateandhomes-detail/1202-29th-St_Cody_WY_82414_M88426-78669</t>
  </si>
  <si>
    <t>Originally listed for $398,000</t>
  </si>
  <si>
    <t>North st</t>
  </si>
  <si>
    <t xml:space="preserve">Cody </t>
  </si>
  <si>
    <t>https://www.google.com/maps/place/808+North+St,+Cody,+WY+82414/@44.5296595,-109.0411241,3a,37.5y,12.22h,87.77t/data=!3m6!1e1!3m4!1s2_bOhDQz39tS0tMfk1V_rg!2e0!7i3328!8i1664!4m5!3m4!1s0x534c1eb087ecfe53:0x4b796271e97099ba!8m2!3d44.5300538!4d-109.0409282</t>
  </si>
  <si>
    <t>Sold to Children's Resource Center</t>
  </si>
  <si>
    <t>Laramie st</t>
  </si>
  <si>
    <t xml:space="preserve">Douglas </t>
  </si>
  <si>
    <t>https://www.google.com/maps/@42.7446028,-105.377871,3a,75y,194.39h,85.64t/data=!3m8!1e1!3m6!1sP5aT52bCg6W5A0NZhOQ4Jw!2e0!5s20110901T000000!6s%2F%2Fgeo3.ggpht.com%2Fcbk%3Fpanoid%3DP5aT52bCg6W5A0NZhOQ4Jw%26output%3Dthumbnail%26cb_client%3Dmaps_sv.tactile.gps%26thumb%3D2%26w%3D203%26h%3D100%26yaw%3D100.27502%26pitch%3D0%26thumbfov%3D100!7i13312!8i6656</t>
  </si>
  <si>
    <t>Mapquest is showing a FOR SALE by OWNER so there isn't a property listing</t>
  </si>
  <si>
    <t>Greenway dr</t>
  </si>
  <si>
    <t>Gillette</t>
  </si>
  <si>
    <t>https://www.google.com/maps/place/2200+Greenway+Dr,+Gillette,+WY+82716/@44.3045515,-105.5316117,3a,75y,0.77h,90t/data=!3m7!1e1!3m5!1sDu2XvMcAOmsubDVOJIBFSg!2e0!6s%2F%2Fgeo0.ggpht.com%2Fcbk%3Fpanoid%3DDu2XvMcAOmsubDVOJIBFSg%26output%3Dthumbnail%26cb_client%3Dsearch.gws-prod%2Flocal-details-getcard.gps%26thumb%3D2%26w%3D360%26h%3D120%26yaw%3D0.7733341%26pitch%3D0%26thumbfov%3D100!7i16384!8i8192!4m5!3m4!1s0x5334947411a60937:0x613826dd51f0ea59!8m2!3d44.3048998!4d-105.5315675?hl=en-US</t>
  </si>
  <si>
    <t>Couldn't find the property listing but it is now an Event Center</t>
  </si>
  <si>
    <t>W. Teton Blvd</t>
  </si>
  <si>
    <t>Green River</t>
  </si>
  <si>
    <t>https://www.realliving.com/commercial-for-sale/2180-W-Teton-Blvd-Green-River-WY-82935-292496140</t>
  </si>
  <si>
    <t>E. Clark st</t>
  </si>
  <si>
    <t>Laramie</t>
  </si>
  <si>
    <t>https://www.xome.com/realestate/507-e-clark-st-laramie-wy-82072-119228580</t>
  </si>
  <si>
    <t>Now it's Apartments</t>
  </si>
  <si>
    <t>N. Ingalls St</t>
  </si>
  <si>
    <t>Powell</t>
  </si>
  <si>
    <t>https://www.realtor.com/realestateandhomes-detail/576-N-Ingalls-St_Powell_WY_82435_M84571-40848</t>
  </si>
  <si>
    <t>Sold to a Child Care</t>
  </si>
  <si>
    <t>Road 8</t>
  </si>
  <si>
    <t>https://www.beenverified.com/property/wy/powell/road-8-residences/</t>
  </si>
  <si>
    <t>It was sold to a bank. https://bankofbridger.com/locations/bank-of-powell/</t>
  </si>
  <si>
    <t>Date:</t>
  </si>
  <si>
    <t>Source:</t>
  </si>
  <si>
    <t>https://www.xe.com/currencytables/?from=USD&amp;date=2020-04-01</t>
  </si>
  <si>
    <t>Currency code</t>
  </si>
  <si>
    <t>Currency name</t>
  </si>
  <si>
    <t>Units per USD</t>
  </si>
  <si>
    <t>Dwnld Units per USD</t>
  </si>
  <si>
    <t>Accurate GF Lookup</t>
  </si>
  <si>
    <t>AED</t>
  </si>
  <si>
    <t>Emirati Dirham</t>
  </si>
  <si>
    <t>AFN</t>
  </si>
  <si>
    <t>Afghan Afghani</t>
  </si>
  <si>
    <t>ALL</t>
  </si>
  <si>
    <t>Albanian Lek</t>
  </si>
  <si>
    <t>AMD</t>
  </si>
  <si>
    <t>Armenian Dram</t>
  </si>
  <si>
    <t>ANG</t>
  </si>
  <si>
    <t>Dutch Guilder</t>
  </si>
  <si>
    <t>AOA</t>
  </si>
  <si>
    <t>Angolan Kwanza</t>
  </si>
  <si>
    <t>ARS</t>
  </si>
  <si>
    <t>Argentine Peso</t>
  </si>
  <si>
    <t>AUD</t>
  </si>
  <si>
    <t>Australian Dollar</t>
  </si>
  <si>
    <t>AWG</t>
  </si>
  <si>
    <t>Aruban or Dutch Guilder</t>
  </si>
  <si>
    <t>AZN</t>
  </si>
  <si>
    <t>Azerbaijan Manat</t>
  </si>
  <si>
    <t>BAM</t>
  </si>
  <si>
    <t>Bosnian Convertible Mark</t>
  </si>
  <si>
    <t>BBD</t>
  </si>
  <si>
    <t>Barbadian or Bajan Dollar</t>
  </si>
  <si>
    <t>BDT</t>
  </si>
  <si>
    <t>Bangladeshi Taka</t>
  </si>
  <si>
    <t>BGN</t>
  </si>
  <si>
    <t>Bulgarian Lev</t>
  </si>
  <si>
    <t>BHD</t>
  </si>
  <si>
    <t>Bahraini Dinar</t>
  </si>
  <si>
    <t>BIF</t>
  </si>
  <si>
    <t>Burundian Franc</t>
  </si>
  <si>
    <t>BMD</t>
  </si>
  <si>
    <t>Bermudian Dollar</t>
  </si>
  <si>
    <t>BND</t>
  </si>
  <si>
    <t>Bruneian Dollar</t>
  </si>
  <si>
    <t>BOB</t>
  </si>
  <si>
    <t>Bolivian Bolíviano</t>
  </si>
  <si>
    <t>BRL</t>
  </si>
  <si>
    <t>Brazilian Real</t>
  </si>
  <si>
    <t>BSD</t>
  </si>
  <si>
    <t>Bahamian Dollar</t>
  </si>
  <si>
    <t>BTN</t>
  </si>
  <si>
    <t>Bhutanese Ngultrum</t>
  </si>
  <si>
    <t>BWP</t>
  </si>
  <si>
    <t>Botswana Pula</t>
  </si>
  <si>
    <t>BYN</t>
  </si>
  <si>
    <t>Belarusian Ruble</t>
  </si>
  <si>
    <t>BZD</t>
  </si>
  <si>
    <t>Belizean Dollar</t>
  </si>
  <si>
    <t>CAD</t>
  </si>
  <si>
    <t>Canadian Dollar</t>
  </si>
  <si>
    <t>CDF</t>
  </si>
  <si>
    <t>Congolese Franc</t>
  </si>
  <si>
    <t>CHF</t>
  </si>
  <si>
    <t>Swiss Franc</t>
  </si>
  <si>
    <t>CLP</t>
  </si>
  <si>
    <t>Chilean Peso</t>
  </si>
  <si>
    <t>CNY</t>
  </si>
  <si>
    <t>Chinese Yuan Renminbi</t>
  </si>
  <si>
    <t>COP</t>
  </si>
  <si>
    <t>Colombian Peso</t>
  </si>
  <si>
    <t>CRC</t>
  </si>
  <si>
    <t>Costa Rican Colon</t>
  </si>
  <si>
    <t>CUC</t>
  </si>
  <si>
    <t>Cuban Convertible Peso</t>
  </si>
  <si>
    <t>CUP</t>
  </si>
  <si>
    <t>Cuban Peso</t>
  </si>
  <si>
    <t>CVE</t>
  </si>
  <si>
    <t>Cape Verdean Escudo</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</si>
  <si>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</si>
  <si>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</si>
  <si>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</si>
  <si>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</si>
  <si>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</si>
  <si>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</si>
  <si>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</si>
  <si>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</si>
  <si>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</si>
  <si>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</si>
  <si>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</si>
  <si>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</si>
  <si>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</si>
  <si>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</si>
  <si>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</si>
  <si>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</si>
  <si>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</si>
  <si>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</si>
  <si>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</si>
  <si>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Fijian Dollar</t>
  </si>
  <si>
    <t>FKP</t>
  </si>
  <si>
    <t>Falkland Island Pound</t>
  </si>
  <si>
    <t>GBP</t>
  </si>
  <si>
    <t>British Pound</t>
  </si>
  <si>
    <t>GEL</t>
  </si>
  <si>
    <t>Georgian Lari</t>
  </si>
  <si>
    <t>GGP</t>
  </si>
  <si>
    <t>Guernsey Pound</t>
  </si>
  <si>
    <t>GHS</t>
  </si>
  <si>
    <t>Ghanaian Cedi</t>
  </si>
  <si>
    <t>GIP</t>
  </si>
  <si>
    <t>Gibraltar Pound</t>
  </si>
  <si>
    <t>GMD</t>
  </si>
  <si>
    <t>Gambian Dalasi</t>
  </si>
  <si>
    <t>GNF</t>
  </si>
  <si>
    <t>Guinean Franc</t>
  </si>
  <si>
    <t>GTQ</t>
  </si>
  <si>
    <t>Guatemalan Quetzal</t>
  </si>
  <si>
    <t>GYD</t>
  </si>
  <si>
    <t>Guyanese Dollar</t>
  </si>
  <si>
    <t>HKD</t>
  </si>
  <si>
    <t>Hong Kong Dollar</t>
  </si>
  <si>
    <t>HNL</t>
  </si>
  <si>
    <t>Honduran Lempira</t>
  </si>
  <si>
    <t>HRK</t>
  </si>
  <si>
    <t>Croatian Kuna</t>
  </si>
  <si>
    <t>HTG</t>
  </si>
  <si>
    <t>Haitian Gourde</t>
  </si>
  <si>
    <t>HUF</t>
  </si>
  <si>
    <t>Hungarian Forint</t>
  </si>
  <si>
    <t>IDR</t>
  </si>
  <si>
    <t>Indonesian Rupiah</t>
  </si>
  <si>
    <t>ILS</t>
  </si>
  <si>
    <t>Israeli Shekel</t>
  </si>
  <si>
    <t>IMP</t>
  </si>
  <si>
    <t>Isle of Man Pound</t>
  </si>
  <si>
    <t>INR</t>
  </si>
  <si>
    <t>Indian Rupee</t>
  </si>
  <si>
    <t>IQD</t>
  </si>
  <si>
    <t>Iraqi Dinar</t>
  </si>
  <si>
    <t>IRR</t>
  </si>
  <si>
    <t>Iranian Rial</t>
  </si>
  <si>
    <t>ISK</t>
  </si>
  <si>
    <t>Icelandic Krona</t>
  </si>
  <si>
    <t>JEP</t>
  </si>
  <si>
    <t>Jersey Pound</t>
  </si>
  <si>
    <t>JMD</t>
  </si>
  <si>
    <t>Jamaican Dollar</t>
  </si>
  <si>
    <t>JOD</t>
  </si>
  <si>
    <t>Jordanian Dinar</t>
  </si>
  <si>
    <t>JPY</t>
  </si>
  <si>
    <t>Japanese Yen</t>
  </si>
  <si>
    <t>KES</t>
  </si>
  <si>
    <t>Kenyan Shilling</t>
  </si>
  <si>
    <t>KGS</t>
  </si>
  <si>
    <t>Kyrgyzstani Som</t>
  </si>
  <si>
    <t>KHR</t>
  </si>
  <si>
    <t>Cambodian Riel</t>
  </si>
  <si>
    <t>KMF</t>
  </si>
  <si>
    <t>Comorian Franc</t>
  </si>
  <si>
    <t>KPW</t>
  </si>
  <si>
    <t>North Korean Won</t>
  </si>
  <si>
    <t>KRW</t>
  </si>
  <si>
    <t>South Korean Won</t>
  </si>
  <si>
    <t>KWD</t>
  </si>
  <si>
    <t>Kuwaiti Dinar</t>
  </si>
  <si>
    <t>KYD</t>
  </si>
  <si>
    <t>Caymanian Dollar</t>
  </si>
  <si>
    <t>KZT</t>
  </si>
  <si>
    <t>Kazakhstani Tenge</t>
  </si>
  <si>
    <t>LAK</t>
  </si>
  <si>
    <t>Lao Kip</t>
  </si>
  <si>
    <t>LBP</t>
  </si>
  <si>
    <t>Lebanese Pound</t>
  </si>
  <si>
    <t>LKR</t>
  </si>
  <si>
    <t>Sri Lankan Rupee</t>
  </si>
  <si>
    <t>LRD</t>
  </si>
  <si>
    <t>Liberian Dollar</t>
  </si>
  <si>
    <t>LSL</t>
  </si>
  <si>
    <t>Basotho Loti</t>
  </si>
  <si>
    <t>LYD</t>
  </si>
  <si>
    <t>Libyan Dinar</t>
  </si>
  <si>
    <t>MAD</t>
  </si>
  <si>
    <t>Moroccan Dirham</t>
  </si>
  <si>
    <t>MDL</t>
  </si>
  <si>
    <t>Moldovan Leu</t>
  </si>
  <si>
    <t>MGA</t>
  </si>
  <si>
    <t>Malagasy Ariary</t>
  </si>
  <si>
    <t>MKD</t>
  </si>
  <si>
    <t>Macedonian Denar</t>
  </si>
  <si>
    <t>MMK</t>
  </si>
  <si>
    <t>Burmese Kyat</t>
  </si>
  <si>
    <t>MNT</t>
  </si>
  <si>
    <t>Mongolian Tughrik</t>
  </si>
  <si>
    <t>MOP</t>
  </si>
  <si>
    <t>Macau Pataca</t>
  </si>
  <si>
    <t>MRU</t>
  </si>
  <si>
    <t>Mauritanian Ouguiya</t>
  </si>
  <si>
    <t>MUR</t>
  </si>
  <si>
    <t>Mauritian Rupee</t>
  </si>
  <si>
    <t>MVR</t>
  </si>
  <si>
    <t>Maldivian Rufiyaa</t>
  </si>
  <si>
    <t>MWK</t>
  </si>
  <si>
    <t>Malawian Kwacha</t>
  </si>
  <si>
    <t>MXN</t>
  </si>
  <si>
    <t>Mexican Peso</t>
  </si>
  <si>
    <t>MYR</t>
  </si>
  <si>
    <t>Malaysian Ringgit</t>
  </si>
  <si>
    <t>MZN</t>
  </si>
  <si>
    <t>Mozambican Metical</t>
  </si>
  <si>
    <t>NAD</t>
  </si>
  <si>
    <t>Namibian Dollar</t>
  </si>
  <si>
    <t>NGN</t>
  </si>
  <si>
    <t>Nigerian Naira</t>
  </si>
  <si>
    <t>NIO</t>
  </si>
  <si>
    <t>Nicaraguan Cordoba</t>
  </si>
  <si>
    <t>NOK</t>
  </si>
  <si>
    <t>Norwegian Krone</t>
  </si>
  <si>
    <t>NPR</t>
  </si>
  <si>
    <t>Nepalese Rupee</t>
  </si>
  <si>
    <t>NZD</t>
  </si>
  <si>
    <t>New Zealand Dollar</t>
  </si>
  <si>
    <t>OMR</t>
  </si>
  <si>
    <t>Omani Rial</t>
  </si>
  <si>
    <t>PAB</t>
  </si>
  <si>
    <t>Panamanian Balboa</t>
  </si>
  <si>
    <t>PEN</t>
  </si>
  <si>
    <t>Peruvian Sol</t>
  </si>
  <si>
    <t>PGK</t>
  </si>
  <si>
    <t>Papua New Guinean Kina</t>
  </si>
  <si>
    <t>PHP</t>
  </si>
  <si>
    <t>Philippine Peso</t>
  </si>
  <si>
    <t>PKR</t>
  </si>
  <si>
    <t>Pakistani Rupee</t>
  </si>
  <si>
    <t>PLN</t>
  </si>
  <si>
    <t>Polish Zloty</t>
  </si>
  <si>
    <t>PYG</t>
  </si>
  <si>
    <t>Paraguayan Guarani</t>
  </si>
  <si>
    <t>QAR</t>
  </si>
  <si>
    <t>Qatari Riyal</t>
  </si>
  <si>
    <t>RON</t>
  </si>
  <si>
    <t>Romanian Leu</t>
  </si>
  <si>
    <t>RSD</t>
  </si>
  <si>
    <t>Serbian Dinar</t>
  </si>
  <si>
    <t>RUB</t>
  </si>
  <si>
    <t>Russian Ruble</t>
  </si>
  <si>
    <t>RWF</t>
  </si>
  <si>
    <t>Rwandan Franc</t>
  </si>
  <si>
    <t>SAR</t>
  </si>
  <si>
    <t>Saudi Arabian Riyal</t>
  </si>
  <si>
    <t>SBD</t>
  </si>
  <si>
    <t>Solomon Islander Dollar</t>
  </si>
  <si>
    <t>SCR</t>
  </si>
  <si>
    <t>Seychellois Rupee</t>
  </si>
  <si>
    <t>SDG</t>
  </si>
  <si>
    <t>Sudanese Pound</t>
  </si>
  <si>
    <t>SEK</t>
  </si>
  <si>
    <t>Swedish Krona</t>
  </si>
  <si>
    <t>SGD</t>
  </si>
  <si>
    <t>Singapore Dollar</t>
  </si>
  <si>
    <t>SHP</t>
  </si>
  <si>
    <t>Saint Helenian Pound</t>
  </si>
  <si>
    <t>SLL</t>
  </si>
  <si>
    <t>Sierra Leonean Leone</t>
  </si>
  <si>
    <t>SOS</t>
  </si>
  <si>
    <t>Somali Shilling</t>
  </si>
  <si>
    <t>SPL</t>
  </si>
  <si>
    <t>Seborgan Luigino</t>
  </si>
  <si>
    <t>SRD</t>
  </si>
  <si>
    <t>Surinamese Dollar</t>
  </si>
  <si>
    <t>STN</t>
  </si>
  <si>
    <t>Sao Tomean Dobra</t>
  </si>
  <si>
    <t>SVC</t>
  </si>
  <si>
    <t>Salvadoran Colon</t>
  </si>
  <si>
    <t>SYP</t>
  </si>
  <si>
    <t>Syrian Pound</t>
  </si>
  <si>
    <t>SZL</t>
  </si>
  <si>
    <t>Swazi Lilangeni</t>
  </si>
  <si>
    <t>THB</t>
  </si>
  <si>
    <t>Thai Baht</t>
  </si>
  <si>
    <t>TJS</t>
  </si>
  <si>
    <t>Tajikistani Somoni</t>
  </si>
  <si>
    <t>TMT</t>
  </si>
  <si>
    <t>Turkmenistani Manat</t>
  </si>
  <si>
    <t>TND</t>
  </si>
  <si>
    <t>Tunisian Dinar</t>
  </si>
  <si>
    <t>TOP</t>
  </si>
  <si>
    <t>Tongan Pa'anga</t>
  </si>
  <si>
    <t>TRY</t>
  </si>
  <si>
    <t>Turkish Lira</t>
  </si>
  <si>
    <t>TTD</t>
  </si>
  <si>
    <t>Trinidadian Dollar</t>
  </si>
  <si>
    <t>TVD</t>
  </si>
  <si>
    <t>Tuvaluan Dollar</t>
  </si>
  <si>
    <t>TWD</t>
  </si>
  <si>
    <t>Taiwan New Dollar</t>
  </si>
  <si>
    <t>TZS</t>
  </si>
  <si>
    <t>Tanzanian Shilling</t>
  </si>
  <si>
    <t>UAH</t>
  </si>
  <si>
    <t>Ukrainian Hryvnia</t>
  </si>
  <si>
    <t>UGX</t>
  </si>
  <si>
    <t>Ugandan Shilling</t>
  </si>
  <si>
    <t>USD</t>
  </si>
  <si>
    <t>US Dollar</t>
  </si>
  <si>
    <t>UYU</t>
  </si>
  <si>
    <t>Uruguayan Peso</t>
  </si>
  <si>
    <t>UZS</t>
  </si>
  <si>
    <t>Uzbekistani Som</t>
  </si>
  <si>
    <t>VEF</t>
  </si>
  <si>
    <t>Venezuelan Bolívar</t>
  </si>
  <si>
    <t>VES</t>
  </si>
  <si>
    <t>VND</t>
  </si>
  <si>
    <t>Vietnamese Dong</t>
  </si>
  <si>
    <t>VUV</t>
  </si>
  <si>
    <t>Ni-Vanuatu Vatu</t>
  </si>
  <si>
    <t>WST</t>
  </si>
  <si>
    <t>Samoan Tala</t>
  </si>
  <si>
    <t>XAF</t>
  </si>
  <si>
    <t>Central African CFA Franc BEAC</t>
  </si>
  <si>
    <t>XAG</t>
  </si>
  <si>
    <t>Silver Ounce</t>
  </si>
  <si>
    <t>XAU</t>
  </si>
  <si>
    <t>Gold Ounce</t>
  </si>
  <si>
    <t>XCD</t>
  </si>
  <si>
    <t>East Caribbean Dollar</t>
  </si>
  <si>
    <t>XDR</t>
  </si>
  <si>
    <t>IMF Special Drawing Rights</t>
  </si>
  <si>
    <t>XOF</t>
  </si>
  <si>
    <t>CFA Franc</t>
  </si>
  <si>
    <t>XPD</t>
  </si>
  <si>
    <t>Palladium Ounce</t>
  </si>
  <si>
    <t>XPF</t>
  </si>
  <si>
    <t>CFP Franc</t>
  </si>
  <si>
    <t>XPT</t>
  </si>
  <si>
    <t>Platinum Ounce</t>
  </si>
  <si>
    <t>YER</t>
  </si>
  <si>
    <t>Yemeni Rial</t>
  </si>
  <si>
    <t>ZAR</t>
  </si>
  <si>
    <t>South African Rand</t>
  </si>
  <si>
    <t>ZMW</t>
  </si>
  <si>
    <t>Zambian Kwacha</t>
  </si>
  <si>
    <t>ZWD</t>
  </si>
  <si>
    <t>Zimbabwean Dollar</t>
  </si>
  <si>
    <t>SUM of USD Value</t>
  </si>
  <si>
    <t>Apartment Total</t>
  </si>
  <si>
    <t>Assembly Hall Total</t>
  </si>
  <si>
    <t>Bethel / Branch Property Total</t>
  </si>
  <si>
    <t>House Total</t>
  </si>
  <si>
    <t>Kingdom Hall Total</t>
  </si>
  <si>
    <t>Vacant Land Total</t>
  </si>
  <si>
    <t>For Sale Total</t>
  </si>
  <si>
    <t>Assembly Hall w/ 5 Kingdom Halls Total</t>
  </si>
  <si>
    <t>Estate left to Watchtower (Residence) Total</t>
  </si>
  <si>
    <t>Home  Total</t>
  </si>
  <si>
    <t>Houseboat Total</t>
  </si>
  <si>
    <t>Kingdom hall with 7 apartments Total</t>
  </si>
  <si>
    <t>Residential  Total</t>
  </si>
  <si>
    <t>Unknown Total</t>
  </si>
  <si>
    <t>Unknown  Total</t>
  </si>
  <si>
    <t>Warehouse Total</t>
  </si>
  <si>
    <t>Sold Total</t>
  </si>
  <si>
    <t>Grand Total</t>
  </si>
  <si>
    <t>Cumulative Year on Year Watchtower Property Sale Portfolio (for known Sold &amp; For Sale data)</t>
  </si>
  <si>
    <t>Year</t>
  </si>
  <si>
    <t>Australia Sales</t>
  </si>
  <si>
    <t>Canada Sales</t>
  </si>
  <si>
    <t>Germany Sales</t>
  </si>
  <si>
    <t>Netherlands Sales</t>
  </si>
  <si>
    <t>New Zealand Sales</t>
  </si>
  <si>
    <t>United Kingdom Sales</t>
  </si>
  <si>
    <t>United States Sales</t>
  </si>
  <si>
    <t>Cumulative</t>
  </si>
  <si>
    <t>Legend</t>
  </si>
  <si>
    <t>Australian Royal Commisison into Institutional Responses to Child Sexual Abuse announced by Julia Gillard 12 Nov 2012</t>
  </si>
  <si>
    <t>$66 Million Class Action filed in 2017</t>
  </si>
  <si>
    <t>Independent Inquiry into Child Sexual Abuse (IICSA) in Germany announced 2016</t>
  </si>
  <si>
    <t>Independent Inquiry into Child Sexual Abuse (IICSA) in Netherlands announced 2019</t>
  </si>
  <si>
    <t>New Zealand Child Abuse in State Care Royal Commission announced by Jacinda Adern 31 Jan 2018</t>
  </si>
  <si>
    <t xml:space="preserve">Independent Inquiry into Child Sexual Abuse (IICSA) announced by Theresa May 7 July 2014 </t>
  </si>
  <si>
    <t>Grand Jury reported 10 February 2020</t>
  </si>
  <si>
    <t>Cumulative Worldwide Watchtower Property Sales</t>
  </si>
  <si>
    <t>Cumulative Value</t>
  </si>
  <si>
    <t>Cumulative Value Annotation</t>
  </si>
  <si>
    <t>1st NY HQ property sale</t>
  </si>
  <si>
    <t>Australian Royal Commission</t>
  </si>
  <si>
    <t>IICSA (UK)</t>
  </si>
  <si>
    <t>IICSA (Germany)</t>
  </si>
  <si>
    <t>Class Action Canada</t>
  </si>
  <si>
    <t>NZ Royal Commission</t>
  </si>
  <si>
    <t>IICSA (Netherlands)</t>
  </si>
  <si>
    <t>Grand Jury (Pennsylvania)</t>
  </si>
  <si>
    <t>Actual Yearly Watchtower Property Sale Portfolio Growth (for known Sold &amp; For Sale data)</t>
  </si>
  <si>
    <t>Australia</t>
  </si>
  <si>
    <t>Canada</t>
  </si>
  <si>
    <t>Germany</t>
  </si>
  <si>
    <t>Netherlands</t>
  </si>
  <si>
    <t>New Zealand</t>
  </si>
  <si>
    <t>United Kingdom</t>
  </si>
  <si>
    <t>United States</t>
  </si>
  <si>
    <t>Actual Worldwide Watchtower Property Sale Portfolio</t>
  </si>
  <si>
    <t>Annual Value</t>
  </si>
  <si>
    <r>
      <t xml:space="preserve">Total US Property Sale Portfolio </t>
    </r>
    <r>
      <rPr>
        <i/>
      </rPr>
      <t>(excluding sales of New York Headquarter properties)</t>
    </r>
  </si>
  <si>
    <r>
      <t xml:space="preserve">Total World Property Sale Portfolio </t>
    </r>
    <r>
      <rPr>
        <i/>
      </rPr>
      <t>(excluding sales of Headquarter and Branch Office properties)</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</si>
</sst>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m/d/yyyy h:mm:ss"/>
    <numFmt numFmtId="166" formatCode="mm/dd/yyyy"/>
    <numFmt numFmtId="167" formatCode="m/d/yyyy"/>
    <numFmt numFmtId="168" formatCode="m-d"/>
    <numFmt numFmtId="169" formatCode="yyyy&quot;-&quot;mm&quot;-&quot;dd"/>
  </numFmts>
  <fonts count="15">
    <font>
      <sz val="10.0"/>
      <color rgb="FF000000"/>
      <name val="Arial"/>
    </font>
    <font>
      <b/>
      <color theme="1"/>
      <name val="Arial"/>
    </font>
    <font>
      <color theme="1"/>
      <name val="Arial"/>
    </font>
    <font>
      <u/>
      <color rgb="FF1155CC"/>
      <name val="Arial"/>
    </font>
    <font>
      <u/>
      <color rgb="FF1155CC"/>
      <name val="Arial"/>
    </font>
    <font>
      <u/>
      <color rgb="FF1155CC"/>
      <name val="Arial"/>
    </font>
    <font>
      <u/>
      <color rgb="FF1155CC"/>
      <name val="Arial"/>
    </font>
    <font>
      <u/>
      <color rgb="FF0000FF"/>
      <name val="Arial"/>
    </font>
    <font>
      <u/>
      <color rgb="FF0000FF"/>
    </font>
    <font>
      <b/>
      <sz val="14.0"/>
      <color theme="1"/>
      <name val="Arial"/>
    </font>
    <font>
      <i/>
      <color rgb="FF38761D"/>
      <name val="Arial"/>
    </font>
    <font>
      <b/>
      <i/>
      <color rgb="FF38761D"/>
      <name val="Arial"/>
    </font>
    <font>
      <sz val="8.0"/>
      <color theme="1"/>
      <name val="Arial"/>
    </font>
    <font>
      <i/>
      <color theme="1"/>
      <name val="Arial"/>
    </font>
    <font>
      <b/>
      <sz val="18.0"/>
      <color theme="1"/>
      <name val="Arial"/>
    </font>
  </fonts>
  <fills count="4">
    <fill>
      <patternFill patternType="none"/>
    </fill>
    <fill>
      <patternFill patternType="lightGray"/>
    </fill>
    <fill>
      <patternFill patternType="solid">
        <fgColor rgb="FFFFD966"/>
        <bgColor rgb="FFFFD966"/>
      </patternFill>
    </fill>
    <fill>
      <patternFill patternType="solid">
        <fgColor rgb="FFF3F3F3"/>
        <bgColor rgb="FFF3F3F3"/>
      </patternFill>
    </fill>
  </fills>
  <borders count="1">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0" fontId="1" numFmtId="0" xfId="0" applyAlignment="1" applyFont="1">
      <alignment horizontal="right" readingOrder="0"/>
    </xf>
    <xf borderId="0" fillId="0" fontId="1" numFmtId="0" xfId="0" applyAlignment="1" applyFont="1">
      <alignment horizontal="left"/>
    </xf>
    <xf borderId="0" fillId="0" fontId="1" numFmtId="0" xfId="0" applyAlignment="1" applyFont="1">
      <alignment horizontal="left" readingOrder="0"/>
    </xf>
    <xf borderId="0" fillId="0" fontId="1" numFmtId="3" xfId="0" applyAlignment="1" applyFont="1" applyNumberFormat="1">
      <alignment horizontal="right" readingOrder="0"/>
    </xf>
    <xf borderId="0" fillId="0" fontId="1" numFmtId="0" xfId="0" applyAlignment="1" applyFont="1">
      <alignment horizontal="center" readingOrder="0"/>
    </xf>
    <xf borderId="0" fillId="0" fontId="1" numFmtId="164" xfId="0" applyAlignment="1" applyFont="1" applyNumberFormat="1">
      <alignment horizontal="right" readingOrder="0"/>
    </xf>
    <xf borderId="0" fillId="0" fontId="2" numFmtId="165" xfId="0" applyAlignment="1" applyFont="1" applyNumberFormat="1">
      <alignment horizontal="right" vertical="bottom"/>
    </xf>
    <xf borderId="0" fillId="0" fontId="2" numFmtId="0" xfId="0" applyAlignment="1" applyFont="1">
      <alignment horizontal="left" vertical="bottom"/>
    </xf>
    <xf borderId="0" fillId="0" fontId="2" numFmtId="0" xfId="0" applyAlignment="1" applyFont="1">
      <alignment horizontal="right" vertical="bottom"/>
    </xf>
    <xf borderId="0" fillId="0" fontId="2" numFmtId="0" xfId="0" applyAlignment="1" applyFont="1">
      <alignment vertical="bottom"/>
    </xf>
    <xf borderId="0" fillId="0" fontId="2" numFmtId="3" xfId="0" applyAlignment="1" applyFont="1" applyNumberFormat="1">
      <alignment horizontal="right" vertical="bottom"/>
    </xf>
    <xf borderId="0" fillId="0" fontId="2" numFmtId="0" xfId="0" applyAlignment="1" applyFont="1">
      <alignment shrinkToFit="0" vertical="bottom" wrapText="0"/>
    </xf>
    <xf borderId="0" fillId="0" fontId="2" numFmtId="166" xfId="0" applyAlignment="1" applyFont="1" applyNumberFormat="1">
      <alignment vertical="bottom"/>
    </xf>
    <xf borderId="0" fillId="0" fontId="3" numFmtId="0" xfId="0" applyAlignment="1" applyFont="1">
      <alignment shrinkToFit="0" vertical="bottom" wrapText="0"/>
    </xf>
    <xf borderId="0" fillId="0" fontId="2" numFmtId="0" xfId="0" applyAlignment="1" applyFont="1">
      <alignment horizontal="right"/>
    </xf>
    <xf borderId="0" fillId="0" fontId="2" numFmtId="0" xfId="0" applyAlignment="1" applyFont="1">
      <alignment horizontal="center"/>
    </xf>
    <xf borderId="0" fillId="0" fontId="2" numFmtId="164" xfId="0" applyAlignment="1" applyFont="1" applyNumberFormat="1">
      <alignment horizontal="right"/>
    </xf>
    <xf borderId="0" fillId="0" fontId="2" numFmtId="0" xfId="0" applyAlignment="1" applyFont="1">
      <alignment horizontal="left" vertical="bottom"/>
    </xf>
    <xf borderId="0" fillId="0" fontId="2" numFmtId="0" xfId="0" applyAlignment="1" applyFont="1">
      <alignment horizontal="right" vertical="bottom"/>
    </xf>
    <xf borderId="0" fillId="0" fontId="2" numFmtId="0" xfId="0" applyAlignment="1" applyFont="1">
      <alignment horizontal="left" shrinkToFit="0" vertical="bottom" wrapText="0"/>
    </xf>
    <xf borderId="0" fillId="0" fontId="2" numFmtId="0" xfId="0" applyAlignment="1" applyFont="1">
      <alignment vertical="bottom"/>
    </xf>
    <xf borderId="0" fillId="0" fontId="2" numFmtId="14" xfId="0" applyAlignment="1" applyFont="1" applyNumberFormat="1">
      <alignment vertical="bottom"/>
    </xf>
    <xf borderId="0" fillId="0" fontId="2" numFmtId="167" xfId="0" applyAlignment="1" applyFont="1" applyNumberFormat="1">
      <alignment horizontal="right" vertical="bottom"/>
    </xf>
    <xf borderId="0" fillId="0" fontId="4" numFmtId="0" xfId="0" applyAlignment="1" applyFont="1">
      <alignment vertical="bottom"/>
    </xf>
    <xf borderId="0" fillId="0" fontId="2" numFmtId="14" xfId="0" applyAlignment="1" applyFont="1" applyNumberFormat="1">
      <alignment horizontal="right" vertical="bottom"/>
    </xf>
    <xf borderId="0" fillId="0" fontId="2" numFmtId="0" xfId="0" applyAlignment="1" applyFont="1">
      <alignment horizontal="left" readingOrder="0" vertical="bottom"/>
    </xf>
    <xf borderId="0" fillId="0" fontId="2" numFmtId="0" xfId="0" applyAlignment="1" applyFont="1">
      <alignment shrinkToFit="0" vertical="bottom" wrapText="0"/>
    </xf>
    <xf borderId="0" fillId="0" fontId="5" numFmtId="0" xfId="0" applyAlignment="1" applyFont="1">
      <alignment vertical="bottom"/>
    </xf>
    <xf quotePrefix="1" borderId="0" fillId="0" fontId="2" numFmtId="0" xfId="0" applyAlignment="1" applyFont="1">
      <alignment horizontal="right" vertical="bottom"/>
    </xf>
    <xf borderId="0" fillId="0" fontId="2" numFmtId="168" xfId="0" applyAlignment="1" applyFont="1" applyNumberFormat="1">
      <alignment horizontal="right" readingOrder="0" vertical="bottom"/>
    </xf>
    <xf borderId="0" fillId="0" fontId="6" numFmtId="0" xfId="0" applyAlignment="1" applyFont="1">
      <alignment shrinkToFit="0" vertical="bottom" wrapText="0"/>
    </xf>
    <xf quotePrefix="1" borderId="0" fillId="0" fontId="2" numFmtId="0" xfId="0" applyAlignment="1" applyFont="1">
      <alignment horizontal="right" vertical="bottom"/>
    </xf>
    <xf borderId="0" fillId="0" fontId="7" numFmtId="0" xfId="0" applyAlignment="1" applyFont="1">
      <alignment vertical="bottom"/>
    </xf>
    <xf borderId="0" fillId="0" fontId="2" numFmtId="168" xfId="0" applyAlignment="1" applyFont="1" applyNumberFormat="1">
      <alignment horizontal="right" vertical="bottom"/>
    </xf>
    <xf borderId="0" fillId="0" fontId="2" numFmtId="0" xfId="0" applyAlignment="1" applyFont="1">
      <alignment horizontal="left" shrinkToFit="0" vertical="bottom" wrapText="0"/>
    </xf>
    <xf borderId="0" fillId="0" fontId="2" numFmtId="0" xfId="0" applyAlignment="1" applyFont="1">
      <alignment readingOrder="0" shrinkToFit="0" vertical="bottom" wrapText="0"/>
    </xf>
    <xf borderId="0" fillId="0" fontId="2" numFmtId="3" xfId="0" applyAlignment="1" applyFont="1" applyNumberFormat="1">
      <alignment horizontal="right" readingOrder="0" vertical="bottom"/>
    </xf>
    <xf borderId="0" fillId="0" fontId="2" numFmtId="165" xfId="0" applyAlignment="1" applyFont="1" applyNumberFormat="1">
      <alignment horizontal="right"/>
    </xf>
    <xf borderId="0" fillId="0" fontId="2" numFmtId="0" xfId="0" applyAlignment="1" applyFont="1">
      <alignment horizontal="left"/>
    </xf>
    <xf borderId="0" fillId="0" fontId="2" numFmtId="166" xfId="0" applyAlignment="1" applyFont="1" applyNumberFormat="1">
      <alignment horizontal="right" vertical="bottom"/>
    </xf>
    <xf borderId="0" fillId="0" fontId="1" numFmtId="0" xfId="0" applyAlignment="1" applyFont="1">
      <alignment readingOrder="0"/>
    </xf>
    <xf borderId="0" fillId="0" fontId="2" numFmtId="169" xfId="0" applyAlignment="1" applyFont="1" applyNumberFormat="1">
      <alignment horizontal="right" readingOrder="0"/>
    </xf>
    <xf borderId="0" fillId="0" fontId="8" numFmtId="0" xfId="0" applyAlignment="1" applyFont="1">
      <alignment readingOrder="0"/>
    </xf>
    <xf borderId="0" fillId="0" fontId="2" numFmtId="169" xfId="0" applyFont="1" applyNumberFormat="1"/>
    <xf borderId="0" fillId="0" fontId="2" numFmtId="0" xfId="0" applyAlignment="1" applyFont="1">
      <alignment readingOrder="0"/>
    </xf>
    <xf borderId="0" fillId="0" fontId="2" numFmtId="0" xfId="0" applyFont="1"/>
    <xf borderId="0" fillId="0" fontId="2" numFmtId="164" xfId="0" applyFont="1" applyNumberFormat="1"/>
    <xf borderId="0" fillId="0" fontId="1" numFmtId="0" xfId="0" applyFont="1"/>
    <xf borderId="0" fillId="0" fontId="9" numFmtId="0" xfId="0" applyAlignment="1" applyFont="1">
      <alignment readingOrder="0"/>
    </xf>
    <xf borderId="0" fillId="0" fontId="2" numFmtId="0" xfId="0" applyAlignment="1" applyFont="1">
      <alignment horizontal="center" readingOrder="0"/>
    </xf>
    <xf borderId="0" fillId="0" fontId="1" numFmtId="164" xfId="0" applyFont="1" applyNumberFormat="1"/>
    <xf borderId="0" fillId="2" fontId="2" numFmtId="164" xfId="0" applyFill="1" applyFont="1" applyNumberFormat="1"/>
    <xf borderId="0" fillId="0" fontId="10" numFmtId="0" xfId="0" applyAlignment="1" applyFont="1">
      <alignment horizontal="center" readingOrder="0"/>
    </xf>
    <xf borderId="0" fillId="0" fontId="10" numFmtId="164" xfId="0" applyFont="1" applyNumberFormat="1"/>
    <xf borderId="0" fillId="0" fontId="11" numFmtId="164" xfId="0" applyFont="1" applyNumberFormat="1"/>
    <xf borderId="0" fillId="2" fontId="1" numFmtId="0" xfId="0" applyAlignment="1" applyFont="1">
      <alignment horizontal="center" readingOrder="0" vertical="center"/>
    </xf>
    <xf borderId="0" fillId="3" fontId="12" numFmtId="0" xfId="0" applyAlignment="1" applyFill="1" applyFont="1">
      <alignment readingOrder="0" shrinkToFit="0" vertical="top" wrapText="1"/>
    </xf>
    <xf borderId="0" fillId="0" fontId="13" numFmtId="164" xfId="0" applyFont="1" applyNumberFormat="1"/>
    <xf borderId="0" fillId="0" fontId="1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pivotCacheDefinition" Target="pivotCache/pivotCacheDefinition1.xml"/><Relationship Id="rId10" Type="http://schemas.openxmlformats.org/officeDocument/2006/relationships/worksheet" Target="worksheets/sheet7.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Australia</a:t>
            </a:r>
          </a:p>
        </c:rich>
      </c:tx>
      <c:overlay val="0"/>
    </c:title>
    <c:view3D>
      <c:rotX val="15"/>
      <c:rotY val="20"/>
      <c:depthPercent val="100"/>
      <c:rAngAx val="1"/>
    </c:view3D>
    <c:plotArea>
      <c:layout/>
      <c:bar3DChart>
        <c:barDir val="col"/>
        <c:grouping val="clustered"/>
        <c:ser>
          <c:idx val="0"/>
          <c:order val="0"/>
          <c:tx>
            <c:strRef>
              <c:f>'Country Graphs'!$B$3</c:f>
            </c:strRef>
          </c:tx>
          <c:spPr>
            <a:solidFill>
              <a:srgbClr val="0000FF"/>
            </a:solidFill>
          </c:spPr>
          <c:dPt>
            <c:idx val="1"/>
          </c:dPt>
          <c:dPt>
            <c:idx val="2"/>
          </c:dPt>
          <c:dPt>
            <c:idx val="3"/>
          </c:dPt>
          <c:dPt>
            <c:idx val="4"/>
          </c:dPt>
          <c:dPt>
            <c:idx val="5"/>
          </c:dPt>
          <c:dPt>
            <c:idx val="6"/>
          </c:dPt>
          <c:dPt>
            <c:idx val="7"/>
          </c:dPt>
          <c:dPt>
            <c:idx val="8"/>
            <c:spPr>
              <a:solidFill>
                <a:srgbClr val="BF9000"/>
              </a:solidFill>
            </c:spPr>
          </c:dPt>
          <c:dPt>
            <c:idx val="9"/>
          </c:dPt>
          <c:dPt>
            <c:idx val="11"/>
          </c:dPt>
          <c:dPt>
            <c:idx val="13"/>
          </c:dPt>
          <c:dPt>
            <c:idx val="15"/>
          </c:dPt>
          <c:dPt>
            <c:idx val="16"/>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Graphs'!$B$4:$B$21</c:f>
              <c:numCache/>
            </c:numRef>
          </c:val>
        </c:ser>
        <c:axId val="38496758"/>
        <c:axId val="582950120"/>
      </c:bar3DChart>
      <c:catAx>
        <c:axId val="3849675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[2012 - Australian Royal Commission into Institutional Responses to Child Sexual Abuse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582950120"/>
      </c:catAx>
      <c:valAx>
        <c:axId val="5829501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38496758"/>
      </c:valAx>
    </c:plotArea>
    <c:legend>
      <c:legendPos val="r"/>
      <c:overlay val="0"/>
      <c:txPr>
        <a:bodyPr/>
        <a:lstStyle/>
        <a:p>
          <a:pPr lvl="0">
            <a:defRPr b="0">
              <a:solidFill>
                <a:srgbClr val="1A1A1A"/>
              </a:solidFill>
              <a:latin typeface="+mn-lt"/>
            </a:defRPr>
          </a:pPr>
        </a:p>
      </c:txPr>
    </c:legend>
    <c:plotVisOnly val="1"/>
  </c:chart>
  <c:spPr>
    <a:solidFill>
      <a:srgbClr val="FFFFFF"/>
    </a:solidFill>
  </c:spPr>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Canada</a:t>
            </a:r>
          </a:p>
        </c:rich>
      </c:tx>
      <c:overlay val="0"/>
    </c:title>
    <c:view3D>
      <c:rotX val="15"/>
      <c:rotY val="20"/>
      <c:depthPercent val="100"/>
      <c:rAngAx val="1"/>
    </c:view3D>
    <c:plotArea>
      <c:layout/>
      <c:bar3DChart>
        <c:barDir val="col"/>
        <c:grouping val="clustered"/>
        <c:ser>
          <c:idx val="0"/>
          <c:order val="0"/>
          <c:tx>
            <c:strRef>
              <c:f>'Country Graphs'!$C$108</c:f>
            </c:strRef>
          </c:tx>
          <c:spPr>
            <a:solidFill>
              <a:srgbClr val="666666"/>
            </a:solidFill>
          </c:spPr>
          <c:dPt>
            <c:idx val="1"/>
          </c:dPt>
          <c:dPt>
            <c:idx val="2"/>
          </c:dPt>
          <c:dPt>
            <c:idx val="3"/>
          </c:dPt>
          <c:dPt>
            <c:idx val="4"/>
          </c:dPt>
          <c:dPt>
            <c:idx val="5"/>
          </c:dPt>
          <c:dPt>
            <c:idx val="6"/>
          </c:dPt>
          <c:dPt>
            <c:idx val="7"/>
          </c:dPt>
          <c:dPt>
            <c:idx val="8"/>
          </c:dPt>
          <c:dPt>
            <c:idx val="9"/>
          </c:dPt>
          <c:dPt>
            <c:idx val="10"/>
          </c:dPt>
          <c:dPt>
            <c:idx val="11"/>
          </c:dPt>
          <c:dPt>
            <c:idx val="12"/>
          </c:dPt>
          <c:dPt>
            <c:idx val="13"/>
            <c:spPr>
              <a:solidFill>
                <a:srgbClr val="BF9000"/>
              </a:solidFill>
            </c:spPr>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Graphs'!$C$109:$C$126</c:f>
              <c:numCache/>
            </c:numRef>
          </c:val>
        </c:ser>
        <c:axId val="1237600416"/>
        <c:axId val="1481027075"/>
      </c:bar3DChart>
      <c:catAx>
        <c:axId val="123760041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[2017 - $66 Million Class Action lawsuit filed]</a:t>
                </a:r>
              </a:p>
            </c:rich>
          </c:tx>
          <c:overlay val="0"/>
        </c:title>
        <c:numFmt formatCode="General" sourceLinked="1"/>
        <c:majorTickMark val="none"/>
        <c:minorTickMark val="none"/>
        <c:spPr/>
        <c:txPr>
          <a:bodyPr/>
          <a:lstStyle/>
          <a:p>
            <a:pPr lvl="0">
              <a:defRPr b="1">
                <a:solidFill>
                  <a:srgbClr val="000000"/>
                </a:solidFill>
                <a:latin typeface="+mn-lt"/>
              </a:defRPr>
            </a:pPr>
          </a:p>
        </c:txPr>
        <c:crossAx val="1481027075"/>
      </c:catAx>
      <c:valAx>
        <c:axId val="148102707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237600416"/>
      </c:valAx>
    </c:plotArea>
    <c:legend>
      <c:legendPos val="r"/>
      <c:overlay val="0"/>
      <c:txPr>
        <a:bodyPr/>
        <a:lstStyle/>
        <a:p>
          <a:pPr lvl="0">
            <a:defRPr b="0">
              <a:solidFill>
                <a:srgbClr val="1A1A1A"/>
              </a:solidFill>
              <a:latin typeface="+mn-lt"/>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Germany</a:t>
            </a:r>
          </a:p>
        </c:rich>
      </c:tx>
      <c:overlay val="0"/>
    </c:title>
    <c:view3D>
      <c:rotX val="15"/>
      <c:rotY val="20"/>
      <c:depthPercent val="100"/>
      <c:rAngAx val="1"/>
    </c:view3D>
    <c:plotArea>
      <c:layout/>
      <c:bar3DChart>
        <c:barDir val="col"/>
        <c:grouping val="clustered"/>
        <c:ser>
          <c:idx val="0"/>
          <c:order val="0"/>
          <c:tx>
            <c:strRef>
              <c:f>'Country Graphs'!$D$108</c:f>
            </c:strRef>
          </c:tx>
          <c:spPr>
            <a:solidFill>
              <a:srgbClr val="C27BA0"/>
            </a:solidFill>
          </c:spPr>
          <c:dPt>
            <c:idx val="1"/>
          </c:dPt>
          <c:dPt>
            <c:idx val="2"/>
          </c:dPt>
          <c:dPt>
            <c:idx val="3"/>
          </c:dPt>
          <c:dPt>
            <c:idx val="4"/>
          </c:dPt>
          <c:dPt>
            <c:idx val="5"/>
          </c:dPt>
          <c:dPt>
            <c:idx val="6"/>
          </c:dPt>
          <c:dPt>
            <c:idx val="7"/>
          </c:dPt>
          <c:dPt>
            <c:idx val="8"/>
          </c:dPt>
          <c:dPt>
            <c:idx val="9"/>
          </c:dPt>
          <c:dPt>
            <c:idx val="10"/>
          </c:dPt>
          <c:dPt>
            <c:idx val="11"/>
          </c:dPt>
          <c:dPt>
            <c:idx val="12"/>
            <c:spPr>
              <a:solidFill>
                <a:srgbClr val="BF9000"/>
              </a:solidFill>
            </c:spPr>
          </c:dPt>
          <c:dPt>
            <c:idx val="13"/>
          </c:dPt>
          <c:dPt>
            <c:idx val="14"/>
          </c:dPt>
          <c:dPt>
            <c:idx val="15"/>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Graphs'!$D$109:$D$126</c:f>
              <c:numCache/>
            </c:numRef>
          </c:val>
        </c:ser>
        <c:axId val="1111198956"/>
        <c:axId val="1996761884"/>
      </c:bar3DChart>
      <c:catAx>
        <c:axId val="111119895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[2016 - Independent Inquiry into Child Sexual Abuse (IICSA) in Germany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1996761884"/>
      </c:catAx>
      <c:valAx>
        <c:axId val="19967618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111198956"/>
      </c:valAx>
    </c:plotArea>
    <c:legend>
      <c:legendPos val="r"/>
      <c:overlay val="0"/>
      <c:txPr>
        <a:bodyPr/>
        <a:lstStyle/>
        <a:p>
          <a:pPr lvl="0">
            <a:defRPr b="0">
              <a:solidFill>
                <a:srgbClr val="1A1A1A"/>
              </a:solidFill>
              <a:latin typeface="+mn-lt"/>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Netherlands</a:t>
            </a:r>
          </a:p>
        </c:rich>
      </c:tx>
      <c:overlay val="0"/>
    </c:title>
    <c:view3D>
      <c:rotX val="15"/>
      <c:rotY val="20"/>
      <c:depthPercent val="100"/>
      <c:rAngAx val="1"/>
    </c:view3D>
    <c:plotArea>
      <c:layout/>
      <c:bar3DChart>
        <c:barDir val="col"/>
        <c:grouping val="clustered"/>
        <c:ser>
          <c:idx val="0"/>
          <c:order val="0"/>
          <c:tx>
            <c:strRef>
              <c:f>'Country Graphs'!$E$108</c:f>
            </c:strRef>
          </c:tx>
          <c:spPr>
            <a:solidFill>
              <a:schemeClr val="accent5"/>
            </a:solidFill>
          </c:spPr>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spPr>
              <a:solidFill>
                <a:srgbClr val="BF9000"/>
              </a:solidFill>
            </c:spPr>
          </c:dPt>
          <c:dPt>
            <c:idx val="16"/>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Graphs'!$E$109:$E$126</c:f>
              <c:numCache/>
            </c:numRef>
          </c:val>
        </c:ser>
        <c:axId val="84227233"/>
        <c:axId val="1372131397"/>
      </c:bar3DChart>
      <c:catAx>
        <c:axId val="842272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[2019 - Independent Inquiry into Child Sexual Abuse (IICSA) in Netherlands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1372131397"/>
      </c:catAx>
      <c:valAx>
        <c:axId val="137213139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84227233"/>
      </c:valAx>
    </c:plotArea>
    <c:legend>
      <c:legendPos val="r"/>
      <c:overlay val="0"/>
      <c:txPr>
        <a:bodyPr/>
        <a:lstStyle/>
        <a:p>
          <a:pPr lvl="0">
            <a:defRPr b="0">
              <a:solidFill>
                <a:srgbClr val="1A1A1A"/>
              </a:solidFill>
              <a:latin typeface="+mn-lt"/>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New Zealand</a:t>
            </a:r>
          </a:p>
        </c:rich>
      </c:tx>
      <c:overlay val="0"/>
    </c:title>
    <c:view3D>
      <c:rotX val="15"/>
      <c:rotY val="20"/>
      <c:depthPercent val="100"/>
      <c:rAngAx val="1"/>
    </c:view3D>
    <c:plotArea>
      <c:layout/>
      <c:bar3DChart>
        <c:barDir val="col"/>
        <c:grouping val="clustered"/>
        <c:ser>
          <c:idx val="0"/>
          <c:order val="0"/>
          <c:tx>
            <c:strRef>
              <c:f>'Country Graphs'!$F$108</c:f>
            </c:strRef>
          </c:tx>
          <c:spPr>
            <a:solidFill>
              <a:srgbClr val="38761D"/>
            </a:solidFill>
          </c:spPr>
          <c:dPt>
            <c:idx val="1"/>
          </c:dPt>
          <c:dPt>
            <c:idx val="2"/>
          </c:dPt>
          <c:dPt>
            <c:idx val="3"/>
          </c:dPt>
          <c:dPt>
            <c:idx val="4"/>
          </c:dPt>
          <c:dPt>
            <c:idx val="5"/>
          </c:dPt>
          <c:dPt>
            <c:idx val="6"/>
          </c:dPt>
          <c:dPt>
            <c:idx val="7"/>
          </c:dPt>
          <c:dPt>
            <c:idx val="8"/>
            <c:spPr>
              <a:solidFill>
                <a:srgbClr val="BF9000"/>
              </a:solidFill>
            </c:spPr>
          </c:dPt>
          <c:dPt>
            <c:idx val="9"/>
          </c:dPt>
          <c:dPt>
            <c:idx val="10"/>
          </c:dPt>
          <c:dPt>
            <c:idx val="11"/>
          </c:dPt>
          <c:dPt>
            <c:idx val="12"/>
          </c:dPt>
          <c:dPt>
            <c:idx val="13"/>
          </c:dPt>
          <c:dPt>
            <c:idx val="14"/>
            <c:spPr>
              <a:solidFill>
                <a:srgbClr val="BF9000"/>
              </a:solidFill>
            </c:spPr>
          </c:dPt>
          <c:dPt>
            <c:idx val="15"/>
          </c:dPt>
          <c:dPt>
            <c:idx val="16"/>
          </c:dPt>
          <c:dPt>
            <c:idx val="17"/>
            <c:spPr>
              <a:solidFill>
                <a:srgbClr val="A61C00"/>
              </a:solidFill>
            </c:spPr>
          </c:dPt>
          <c:dLbls>
            <c:dLbl>
              <c:idx val="15"/>
              <c:layout>
                <c:manualLayout>
                  <c:xMode val="edge"/>
                  <c:yMode val="edge"/>
                  <c:x val="0.8730201782307997"/>
                  <c:y val="0.8486811636421117"/>
                </c:manualLayout>
              </c:layout>
              <c:numFmt formatCode="General" sourceLinked="1"/>
              <c:txPr>
                <a:bodyPr/>
                <a:lstStyle/>
                <a:p>
                  <a:pPr lvl="0">
                    <a:defRPr b="1" sz="1000"/>
                  </a:pPr>
                </a:p>
              </c:txPr>
              <c:showLegendKey val="0"/>
              <c:showVal val="1"/>
              <c:showCatName val="0"/>
              <c:showSerName val="0"/>
              <c:showPercent val="0"/>
              <c:showBubbleSize val="0"/>
            </c:dLbl>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Graphs'!$F$109:$F$126</c:f>
              <c:numCache/>
            </c:numRef>
          </c:val>
        </c:ser>
        <c:axId val="1885491906"/>
        <c:axId val="591305949"/>
      </c:bar3DChart>
      <c:catAx>
        <c:axId val="188549190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[2018 - New Zealand Child Abuse in State Care Royal Commission announced; 2012 - Australian Royal Commission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591305949"/>
      </c:catAx>
      <c:valAx>
        <c:axId val="5913059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885491906"/>
      </c:valAx>
    </c:plotArea>
    <c:legend>
      <c:legendPos val="r"/>
      <c:overlay val="0"/>
      <c:txPr>
        <a:bodyPr/>
        <a:lstStyle/>
        <a:p>
          <a:pPr lvl="0">
            <a:defRPr b="0">
              <a:solidFill>
                <a:srgbClr val="1A1A1A"/>
              </a:solidFill>
              <a:latin typeface="+mn-lt"/>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United Kingdom</a:t>
            </a:r>
          </a:p>
        </c:rich>
      </c:tx>
      <c:overlay val="0"/>
    </c:title>
    <c:view3D>
      <c:rotX val="15"/>
      <c:rotY val="20"/>
      <c:depthPercent val="100"/>
      <c:rAngAx val="1"/>
    </c:view3D>
    <c:plotArea>
      <c:layout/>
      <c:bar3DChart>
        <c:barDir val="col"/>
        <c:grouping val="clustered"/>
        <c:ser>
          <c:idx val="0"/>
          <c:order val="0"/>
          <c:tx>
            <c:strRef>
              <c:f>'Country Graphs'!$G$108</c:f>
            </c:strRef>
          </c:tx>
          <c:spPr>
            <a:solidFill>
              <a:srgbClr val="FF0000"/>
            </a:solidFill>
          </c:spPr>
          <c:dPt>
            <c:idx val="1"/>
          </c:dPt>
          <c:dPt>
            <c:idx val="2"/>
          </c:dPt>
          <c:dPt>
            <c:idx val="3"/>
          </c:dPt>
          <c:dPt>
            <c:idx val="4"/>
          </c:dPt>
          <c:dPt>
            <c:idx val="5"/>
          </c:dPt>
          <c:dPt>
            <c:idx val="6"/>
          </c:dPt>
          <c:dPt>
            <c:idx val="7"/>
          </c:dPt>
          <c:dPt>
            <c:idx val="8"/>
          </c:dPt>
          <c:dPt>
            <c:idx val="9"/>
          </c:dPt>
          <c:dPt>
            <c:idx val="10"/>
            <c:spPr>
              <a:solidFill>
                <a:srgbClr val="BF9000"/>
              </a:solidFill>
            </c:spPr>
          </c:dPt>
          <c:dPt>
            <c:idx val="12"/>
          </c:dPt>
          <c:dPt>
            <c:idx val="15"/>
          </c:dPt>
          <c:dPt>
            <c:idx val="16"/>
          </c:dPt>
          <c:dPt>
            <c:idx val="17"/>
            <c:spPr>
              <a:solidFill>
                <a:srgbClr val="A61C00"/>
              </a:solidFill>
            </c:spPr>
          </c:dPt>
          <c:dLbls>
            <c:dLbl>
              <c:idx val="16"/>
              <c:layout>
                <c:manualLayout>
                  <c:xMode val="edge"/>
                  <c:yMode val="edge"/>
                  <c:x val="0.8704337332968013"/>
                  <c:y val="0.02208771962935788"/>
                </c:manualLayout>
              </c:layout>
              <c:numFmt formatCode="General" sourceLinked="1"/>
              <c:txPr>
                <a:bodyPr/>
                <a:lstStyle/>
                <a:p>
                  <a:pPr lvl="0">
                    <a:defRPr b="1" sz="1000"/>
                  </a:pPr>
                </a:p>
              </c:txPr>
              <c:showLegendKey val="0"/>
              <c:showVal val="1"/>
              <c:showCatName val="0"/>
              <c:showSerName val="0"/>
              <c:showPercent val="0"/>
              <c:showBubbleSize val="0"/>
            </c:dLbl>
            <c:dLbl>
              <c:idx val="17"/>
              <c:layout>
                <c:manualLayout>
                  <c:xMode val="edge"/>
                  <c:yMode val="edge"/>
                  <c:x val="0.9336359195300725"/>
                  <c:y val="0.835837831451611"/>
                </c:manualLayout>
              </c:layout>
              <c:numFmt formatCode="General" sourceLinked="1"/>
              <c:txPr>
                <a:bodyPr/>
                <a:lstStyle/>
                <a:p>
                  <a:pPr lvl="0">
                    <a:defRPr b="1" sz="1000"/>
                  </a:pPr>
                </a:p>
              </c:txPr>
              <c:showLegendKey val="0"/>
              <c:showVal val="1"/>
              <c:showCatName val="0"/>
              <c:showSerName val="0"/>
              <c:showPercent val="0"/>
              <c:showBubbleSize val="0"/>
            </c:dLbl>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Graphs'!$G$109:$G$126</c:f>
              <c:numCache/>
            </c:numRef>
          </c:val>
        </c:ser>
        <c:axId val="857528624"/>
        <c:axId val="2074388214"/>
      </c:bar3DChart>
      <c:catAx>
        <c:axId val="8575286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[2014 - Independent Inquiry into Child Sexual Abuse (IICSA)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2074388214"/>
      </c:catAx>
      <c:valAx>
        <c:axId val="20743882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857528624"/>
      </c:valAx>
    </c:plotArea>
    <c:legend>
      <c:legendPos val="r"/>
      <c:overlay val="0"/>
      <c:txPr>
        <a:bodyPr/>
        <a:lstStyle/>
        <a:p>
          <a:pPr lvl="0">
            <a:defRPr b="0">
              <a:solidFill>
                <a:srgbClr val="1A1A1A"/>
              </a:solidFill>
              <a:latin typeface="+mn-lt"/>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Australia</a:t>
            </a:r>
          </a:p>
        </c:rich>
      </c:tx>
      <c:overlay val="0"/>
    </c:title>
    <c:view3D>
      <c:rotX val="15"/>
      <c:rotY val="20"/>
      <c:depthPercent val="100"/>
      <c:rAngAx val="1"/>
    </c:view3D>
    <c:plotArea>
      <c:layout/>
      <c:bar3DChart>
        <c:barDir val="col"/>
        <c:grouping val="clustered"/>
        <c:ser>
          <c:idx val="0"/>
          <c:order val="0"/>
          <c:tx>
            <c:strRef>
              <c:f>'Country Graphs'!$B$108</c:f>
            </c:strRef>
          </c:tx>
          <c:spPr>
            <a:solidFill>
              <a:srgbClr val="0000FF"/>
            </a:solidFill>
          </c:spPr>
          <c:dPt>
            <c:idx val="1"/>
          </c:dPt>
          <c:dPt>
            <c:idx val="2"/>
          </c:dPt>
          <c:dPt>
            <c:idx val="3"/>
          </c:dPt>
          <c:dPt>
            <c:idx val="4"/>
          </c:dPt>
          <c:dPt>
            <c:idx val="5"/>
          </c:dPt>
          <c:dPt>
            <c:idx val="6"/>
          </c:dPt>
          <c:dPt>
            <c:idx val="7"/>
          </c:dPt>
          <c:dPt>
            <c:idx val="8"/>
            <c:spPr>
              <a:solidFill>
                <a:srgbClr val="BF9000"/>
              </a:solidFill>
            </c:spPr>
          </c:dPt>
          <c:dPt>
            <c:idx val="9"/>
          </c:dPt>
          <c:dPt>
            <c:idx val="11"/>
          </c:dPt>
          <c:dPt>
            <c:idx val="13"/>
          </c:dPt>
          <c:dPt>
            <c:idx val="15"/>
          </c:dPt>
          <c:dPt>
            <c:idx val="16"/>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Graphs'!$A$109:$A$126</c:f>
            </c:strRef>
          </c:cat>
          <c:val>
            <c:numRef>
              <c:f>'Country Graphs'!$B$109:$B$126</c:f>
              <c:numCache/>
            </c:numRef>
          </c:val>
        </c:ser>
        <c:axId val="178867532"/>
        <c:axId val="42353401"/>
      </c:bar3DChart>
      <c:catAx>
        <c:axId val="17886753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[2012 - Australian Royal Commission into Institutional Responses to Child Sexual Abuse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42353401"/>
      </c:catAx>
      <c:valAx>
        <c:axId val="423534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78867532"/>
      </c:valAx>
    </c:plotArea>
    <c:legend>
      <c:legendPos val="r"/>
      <c:overlay val="0"/>
      <c:txPr>
        <a:bodyPr/>
        <a:lstStyle/>
        <a:p>
          <a:pPr lvl="0">
            <a:defRPr b="0">
              <a:solidFill>
                <a:srgbClr val="1A1A1A"/>
              </a:solidFill>
              <a:latin typeface="+mn-lt"/>
            </a:defRPr>
          </a:pPr>
        </a:p>
      </c:txPr>
    </c:legend>
    <c:plotVisOnly val="1"/>
  </c:chart>
  <c:spPr>
    <a:solidFill>
      <a:srgbClr val="FFFFFF"/>
    </a:solidFill>
  </c:spPr>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FFFFFF"/>
                </a:solidFill>
                <a:latin typeface="+mn-lt"/>
              </a:defRPr>
            </a:pPr>
            <a:r>
              <a:rPr b="0">
                <a:solidFill>
                  <a:srgbClr val="FFFFFF"/>
                </a:solidFill>
                <a:latin typeface="+mn-lt"/>
              </a:rPr>
              <a:t>Watchtower Property Sale Portfolio - Global</a:t>
            </a:r>
          </a:p>
        </c:rich>
      </c:tx>
      <c:overlay val="0"/>
    </c:title>
    <c:plotArea>
      <c:layout/>
      <c:barChart>
        <c:barDir val="col"/>
        <c:ser>
          <c:idx val="0"/>
          <c:order val="0"/>
          <c:tx>
            <c:strRef>
              <c:f>'Country Graphs'!$A$133</c:f>
            </c:strRef>
          </c:tx>
          <c:spPr>
            <a:solidFill>
              <a:schemeClr val="accent1"/>
            </a:solidFill>
          </c:spPr>
          <c:cat>
            <c:strRef>
              <c:f>'Country Graphs'!$A$134:$A$151</c:f>
            </c:strRef>
          </c:cat>
          <c:val>
            <c:numRef>
              <c:f>'Country Graphs'!$A$134:$A$151</c:f>
              <c:numCache/>
            </c:numRef>
          </c:val>
        </c:ser>
        <c:ser>
          <c:idx val="1"/>
          <c:order val="1"/>
          <c:tx>
            <c:strRef>
              <c:f>'Country Graphs'!$B$133</c:f>
            </c:strRef>
          </c:tx>
          <c:spPr>
            <a:solidFill>
              <a:srgbClr val="3C78D8"/>
            </a:solidFill>
          </c:spPr>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dPt>
            <c:idx val="17"/>
            <c:spPr>
              <a:solidFill>
                <a:srgbClr val="980000"/>
              </a:solidFill>
            </c:spPr>
          </c:dPt>
          <c:dLbls>
            <c:dLbl>
              <c:idx val="0"/>
              <c:layout>
                <c:manualLayout>
                  <c:xMode val="edge"/>
                  <c:yMode val="edge"/>
                  <c:x val="0.00973374914151696"/>
                  <c:y val="0.7573821844052077"/>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
              <c:layout>
                <c:manualLayout>
                  <c:xMode val="edge"/>
                  <c:yMode val="edge"/>
                  <c:x val="0.07006029092007536"/>
                  <c:y val="0.9532263358521627"/>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3"/>
              <c:layout>
                <c:manualLayout>
                  <c:xMode val="edge"/>
                  <c:yMode val="edge"/>
                  <c:x val="0.18093996650609986"/>
                  <c:y val="0.8979823968780923"/>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4"/>
              <c:layout>
                <c:manualLayout>
                  <c:xMode val="edge"/>
                  <c:yMode val="edge"/>
                  <c:x val="0.23298921184844346"/>
                  <c:y val="0.9627678086817302"/>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5"/>
              <c:layout>
                <c:manualLayout>
                  <c:xMode val="edge"/>
                  <c:yMode val="edge"/>
                  <c:x val="0.28892003545071904"/>
                  <c:y val="0.9310581815404058"/>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6"/>
              <c:layout>
                <c:manualLayout>
                  <c:xMode val="edge"/>
                  <c:yMode val="edge"/>
                  <c:x val="0.34120319664415055"/>
                  <c:y val="0.9677335225112976"/>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7"/>
              <c:layout>
                <c:manualLayout>
                  <c:xMode val="edge"/>
                  <c:yMode val="edge"/>
                  <c:x val="0.3925043862190554"/>
                  <c:y val="0.9313126841593421"/>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8"/>
              <c:layout>
                <c:manualLayout>
                  <c:xMode val="edge"/>
                  <c:yMode val="edge"/>
                  <c:x val="0.4413738008547309"/>
                  <c:y val="0.8419255020458122"/>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9"/>
              <c:layout>
                <c:manualLayout>
                  <c:xMode val="edge"/>
                  <c:yMode val="edge"/>
                  <c:x val="0.5009522868658506"/>
                  <c:y val="0.5336777302505601"/>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0"/>
              <c:layout>
                <c:manualLayout>
                  <c:xMode val="edge"/>
                  <c:yMode val="edge"/>
                  <c:x val="0.5600629411747943"/>
                  <c:y val="0.9486273358521627"/>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11"/>
              <c:layout>
                <c:manualLayout>
                  <c:xMode val="edge"/>
                  <c:yMode val="edge"/>
                  <c:x val="0.6125800182193138"/>
                  <c:y val="0.8954016267007315"/>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2"/>
              <c:layout>
                <c:manualLayout>
                  <c:xMode val="edge"/>
                  <c:yMode val="edge"/>
                  <c:x val="0.6638812077942187"/>
                  <c:y val="0.0885547489077229"/>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13"/>
              <c:layout>
                <c:manualLayout>
                  <c:xMode val="edge"/>
                  <c:yMode val="edge"/>
                  <c:x val="0.7185961439268795"/>
                  <c:y val="0.427466136151664"/>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4"/>
              <c:layout>
                <c:manualLayout>
                  <c:xMode val="edge"/>
                  <c:yMode val="edge"/>
                  <c:x val="0.7696634176506965"/>
                  <c:y val="0.8106486227959043"/>
                </c:manualLayout>
              </c:layout>
              <c:numFmt formatCode="General" sourceLinked="1"/>
              <c:txPr>
                <a:bodyPr/>
                <a:lstStyle/>
                <a:p>
                  <a:pPr lvl="0">
                    <a:defRPr b="0" sz="1000">
                      <a:solidFill>
                        <a:srgbClr val="FFFFFF"/>
                      </a:solidFill>
                    </a:defRPr>
                  </a:pPr>
                </a:p>
              </c:txPr>
              <c:showLegendKey val="0"/>
              <c:showVal val="1"/>
              <c:showCatName val="0"/>
              <c:showSerName val="0"/>
              <c:showPercent val="0"/>
              <c:showBubbleSize val="0"/>
            </c:dLbl>
            <c:dLbl>
              <c:idx val="15"/>
              <c:layout>
                <c:manualLayout>
                  <c:xMode val="edge"/>
                  <c:yMode val="edge"/>
                  <c:x val="0.8290079878107282"/>
                  <c:y val="0.8939516796949765"/>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7"/>
              <c:layout>
                <c:manualLayout>
                  <c:xMode val="edge"/>
                  <c:yMode val="edge"/>
                  <c:x val="0.9396537475456647"/>
                  <c:y val="0.9041670566728262"/>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numFmt formatCode="General" sourceLinked="1"/>
            <c:txPr>
              <a:bodyPr/>
              <a:lstStyle/>
              <a:p>
                <a:pPr lvl="0">
                  <a:defRPr b="0" sz="1000">
                    <a:solidFill>
                      <a:srgbClr val="FFFFFF"/>
                    </a:solidFill>
                  </a:defRPr>
                </a:pPr>
              </a:p>
            </c:txPr>
            <c:showLegendKey val="0"/>
            <c:showVal val="1"/>
            <c:showCatName val="0"/>
            <c:showSerName val="0"/>
            <c:showPercent val="0"/>
            <c:showBubbleSize val="0"/>
          </c:dLbls>
          <c:cat>
            <c:strRef>
              <c:f>'Country Graphs'!$A$134:$A$151</c:f>
            </c:strRef>
          </c:cat>
          <c:val>
            <c:numRef>
              <c:f>'Country Graphs'!$B$134:$B$151</c:f>
              <c:numCache/>
            </c:numRef>
          </c:val>
        </c:ser>
        <c:axId val="162530389"/>
        <c:axId val="427536005"/>
      </c:barChart>
      <c:catAx>
        <c:axId val="16253038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sz="1200">
                <a:solidFill>
                  <a:srgbClr val="FFFFFF"/>
                </a:solidFill>
                <a:latin typeface="+mn-lt"/>
              </a:defRPr>
            </a:pPr>
          </a:p>
        </c:txPr>
        <c:crossAx val="427536005"/>
      </c:catAx>
      <c:valAx>
        <c:axId val="427536005"/>
        <c:scaling>
          <c:orientation val="minMax"/>
        </c:scaling>
        <c:delete val="0"/>
        <c:axPos val="l"/>
        <c:majorGridlines>
          <c:spPr>
            <a:ln>
              <a:solidFill>
                <a:srgbClr val="FFFFFF"/>
              </a:solidFill>
            </a:ln>
          </c:spPr>
        </c:majorGridlines>
        <c:minorGridlines>
          <c:spPr>
            <a:ln>
              <a:solidFill>
                <a:srgbClr val="CCCCCC"/>
              </a:solidFill>
            </a:ln>
          </c:spPr>
        </c:minorGridlines>
        <c:title>
          <c:tx>
            <c:rich>
              <a:bodyPr/>
              <a:lstStyle/>
              <a:p>
                <a:pPr lvl="0">
                  <a:defRPr b="1" sz="1200">
                    <a:solidFill>
                      <a:srgbClr val="FFFFFF"/>
                    </a:solidFill>
                    <a:latin typeface="+mn-lt"/>
                  </a:defRPr>
                </a:pPr>
                <a:r>
                  <a:rPr b="1" sz="1200">
                    <a:solidFill>
                      <a:srgbClr val="FFFFFF"/>
                    </a:solidFill>
                    <a:latin typeface="+mn-lt"/>
                  </a:rPr>
                  <a:t>Value (Billions)</a:t>
                </a:r>
              </a:p>
            </c:rich>
          </c:tx>
          <c:overlay val="0"/>
        </c:title>
        <c:numFmt formatCode="General" sourceLinked="1"/>
        <c:majorTickMark val="none"/>
        <c:minorTickMark val="none"/>
        <c:tickLblPos val="nextTo"/>
        <c:spPr>
          <a:ln/>
        </c:spPr>
        <c:txPr>
          <a:bodyPr/>
          <a:lstStyle/>
          <a:p>
            <a:pPr lvl="0">
              <a:defRPr b="1" sz="1200">
                <a:solidFill>
                  <a:srgbClr val="FFFFFF"/>
                </a:solidFill>
                <a:latin typeface="+mn-lt"/>
              </a:defRPr>
            </a:pPr>
          </a:p>
        </c:txPr>
        <c:crossAx val="162530389"/>
      </c:valAx>
    </c:plotArea>
    <c:plotVisOnly val="1"/>
  </c:chart>
  <c:spPr>
    <a:solidFill>
      <a:srgbClr val="666666"/>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Canada</a:t>
            </a:r>
          </a:p>
        </c:rich>
      </c:tx>
      <c:overlay val="0"/>
    </c:title>
    <c:view3D>
      <c:rotX val="15"/>
      <c:rotY val="20"/>
      <c:depthPercent val="100"/>
      <c:rAngAx val="1"/>
    </c:view3D>
    <c:plotArea>
      <c:layout/>
      <c:bar3DChart>
        <c:barDir val="col"/>
        <c:grouping val="clustered"/>
        <c:ser>
          <c:idx val="0"/>
          <c:order val="0"/>
          <c:tx>
            <c:strRef>
              <c:f>'Country Graphs'!$C$3</c:f>
            </c:strRef>
          </c:tx>
          <c:spPr>
            <a:solidFill>
              <a:srgbClr val="666666"/>
            </a:solidFill>
          </c:spPr>
          <c:dPt>
            <c:idx val="1"/>
          </c:dPt>
          <c:dPt>
            <c:idx val="2"/>
          </c:dPt>
          <c:dPt>
            <c:idx val="3"/>
          </c:dPt>
          <c:dPt>
            <c:idx val="4"/>
          </c:dPt>
          <c:dPt>
            <c:idx val="5"/>
          </c:dPt>
          <c:dPt>
            <c:idx val="6"/>
          </c:dPt>
          <c:dPt>
            <c:idx val="7"/>
          </c:dPt>
          <c:dPt>
            <c:idx val="8"/>
          </c:dPt>
          <c:dPt>
            <c:idx val="9"/>
          </c:dPt>
          <c:dPt>
            <c:idx val="10"/>
          </c:dPt>
          <c:dPt>
            <c:idx val="11"/>
          </c:dPt>
          <c:dPt>
            <c:idx val="12"/>
          </c:dPt>
          <c:dPt>
            <c:idx val="13"/>
            <c:spPr>
              <a:solidFill>
                <a:srgbClr val="BF9000"/>
              </a:solidFill>
            </c:spPr>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Graphs'!$C$4:$C$21</c:f>
              <c:numCache/>
            </c:numRef>
          </c:val>
        </c:ser>
        <c:axId val="1226507784"/>
        <c:axId val="1432273557"/>
      </c:bar3DChart>
      <c:catAx>
        <c:axId val="122650778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[2017 - $66 Million Class Action lawsuit filed]</a:t>
                </a:r>
              </a:p>
            </c:rich>
          </c:tx>
          <c:overlay val="0"/>
        </c:title>
        <c:numFmt formatCode="General" sourceLinked="1"/>
        <c:majorTickMark val="none"/>
        <c:minorTickMark val="none"/>
        <c:spPr/>
        <c:txPr>
          <a:bodyPr/>
          <a:lstStyle/>
          <a:p>
            <a:pPr lvl="0">
              <a:defRPr b="1">
                <a:solidFill>
                  <a:srgbClr val="000000"/>
                </a:solidFill>
                <a:latin typeface="+mn-lt"/>
              </a:defRPr>
            </a:pPr>
          </a:p>
        </c:txPr>
        <c:crossAx val="1432273557"/>
      </c:catAx>
      <c:valAx>
        <c:axId val="143227355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226507784"/>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Germany</a:t>
            </a:r>
          </a:p>
        </c:rich>
      </c:tx>
      <c:overlay val="0"/>
    </c:title>
    <c:view3D>
      <c:rotX val="15"/>
      <c:rotY val="20"/>
      <c:depthPercent val="100"/>
      <c:rAngAx val="1"/>
    </c:view3D>
    <c:plotArea>
      <c:layout/>
      <c:bar3DChart>
        <c:barDir val="col"/>
        <c:grouping val="clustered"/>
        <c:ser>
          <c:idx val="0"/>
          <c:order val="0"/>
          <c:tx>
            <c:strRef>
              <c:f>'Country Graphs'!$D$3</c:f>
            </c:strRef>
          </c:tx>
          <c:spPr>
            <a:solidFill>
              <a:srgbClr val="C27BA0"/>
            </a:solidFill>
          </c:spPr>
          <c:dPt>
            <c:idx val="1"/>
          </c:dPt>
          <c:dPt>
            <c:idx val="2"/>
          </c:dPt>
          <c:dPt>
            <c:idx val="3"/>
          </c:dPt>
          <c:dPt>
            <c:idx val="4"/>
          </c:dPt>
          <c:dPt>
            <c:idx val="5"/>
          </c:dPt>
          <c:dPt>
            <c:idx val="6"/>
          </c:dPt>
          <c:dPt>
            <c:idx val="7"/>
          </c:dPt>
          <c:dPt>
            <c:idx val="8"/>
          </c:dPt>
          <c:dPt>
            <c:idx val="9"/>
          </c:dPt>
          <c:dPt>
            <c:idx val="10"/>
          </c:dPt>
          <c:dPt>
            <c:idx val="11"/>
          </c:dPt>
          <c:dPt>
            <c:idx val="12"/>
            <c:spPr>
              <a:solidFill>
                <a:srgbClr val="BF9000"/>
              </a:solidFill>
            </c:spPr>
          </c:dPt>
          <c:dPt>
            <c:idx val="13"/>
          </c:dPt>
          <c:dPt>
            <c:idx val="14"/>
          </c:dPt>
          <c:dPt>
            <c:idx val="15"/>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Graphs'!$D$4:$D$21</c:f>
              <c:numCache/>
            </c:numRef>
          </c:val>
        </c:ser>
        <c:axId val="1470109833"/>
        <c:axId val="1237364769"/>
      </c:bar3DChart>
      <c:catAx>
        <c:axId val="14701098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[2016 - Independent Inquiry into Child Sexual Abuse (IICSA) in Germany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1237364769"/>
      </c:catAx>
      <c:valAx>
        <c:axId val="123736476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470109833"/>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Netherlands</a:t>
            </a:r>
          </a:p>
        </c:rich>
      </c:tx>
      <c:overlay val="0"/>
    </c:title>
    <c:view3D>
      <c:rotX val="15"/>
      <c:rotY val="20"/>
      <c:depthPercent val="100"/>
      <c:rAngAx val="1"/>
    </c:view3D>
    <c:plotArea>
      <c:layout/>
      <c:bar3DChart>
        <c:barDir val="col"/>
        <c:grouping val="clustered"/>
        <c:ser>
          <c:idx val="0"/>
          <c:order val="0"/>
          <c:tx>
            <c:strRef>
              <c:f>'Country Graphs'!$E$3</c:f>
            </c:strRef>
          </c:tx>
          <c:spPr>
            <a:solidFill>
              <a:schemeClr val="accent5"/>
            </a:solidFill>
          </c:spPr>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spPr>
              <a:solidFill>
                <a:srgbClr val="BF9000"/>
              </a:solidFill>
            </c:spPr>
          </c:dPt>
          <c:dPt>
            <c:idx val="16"/>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Graphs'!$E$4:$E$21</c:f>
              <c:numCache/>
            </c:numRef>
          </c:val>
        </c:ser>
        <c:axId val="2089006483"/>
        <c:axId val="71094068"/>
      </c:bar3DChart>
      <c:catAx>
        <c:axId val="208900648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[2019 - Independent Inquiry into Child Sexual Abuse (IICSA) in Netherlands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71094068"/>
      </c:catAx>
      <c:valAx>
        <c:axId val="710940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2089006483"/>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New Zealand</a:t>
            </a:r>
          </a:p>
        </c:rich>
      </c:tx>
      <c:overlay val="0"/>
    </c:title>
    <c:view3D>
      <c:rotX val="15"/>
      <c:rotY val="20"/>
      <c:depthPercent val="100"/>
      <c:rAngAx val="1"/>
    </c:view3D>
    <c:plotArea>
      <c:layout/>
      <c:bar3DChart>
        <c:barDir val="col"/>
        <c:grouping val="clustered"/>
        <c:ser>
          <c:idx val="0"/>
          <c:order val="0"/>
          <c:tx>
            <c:strRef>
              <c:f>'Country Graphs'!$F$3</c:f>
            </c:strRef>
          </c:tx>
          <c:spPr>
            <a:solidFill>
              <a:srgbClr val="38761D"/>
            </a:solidFill>
          </c:spPr>
          <c:dPt>
            <c:idx val="1"/>
          </c:dPt>
          <c:dPt>
            <c:idx val="2"/>
          </c:dPt>
          <c:dPt>
            <c:idx val="3"/>
          </c:dPt>
          <c:dPt>
            <c:idx val="4"/>
          </c:dPt>
          <c:dPt>
            <c:idx val="5"/>
          </c:dPt>
          <c:dPt>
            <c:idx val="6"/>
          </c:dPt>
          <c:dPt>
            <c:idx val="7"/>
          </c:dPt>
          <c:dPt>
            <c:idx val="8"/>
            <c:spPr>
              <a:solidFill>
                <a:srgbClr val="BF9000"/>
              </a:solidFill>
            </c:spPr>
          </c:dPt>
          <c:dPt>
            <c:idx val="9"/>
          </c:dPt>
          <c:dPt>
            <c:idx val="10"/>
          </c:dPt>
          <c:dPt>
            <c:idx val="11"/>
          </c:dPt>
          <c:dPt>
            <c:idx val="12"/>
          </c:dPt>
          <c:dPt>
            <c:idx val="13"/>
          </c:dPt>
          <c:dPt>
            <c:idx val="14"/>
            <c:spPr>
              <a:solidFill>
                <a:srgbClr val="BF9000"/>
              </a:solidFill>
            </c:spPr>
          </c:dPt>
          <c:dPt>
            <c:idx val="15"/>
          </c:dPt>
          <c:dPt>
            <c:idx val="16"/>
          </c:dPt>
          <c:dPt>
            <c:idx val="17"/>
            <c:spPr>
              <a:solidFill>
                <a:srgbClr val="A61C00"/>
              </a:solidFill>
            </c:spPr>
          </c:dPt>
          <c:dLbls>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Graphs'!$F$4:$F$21</c:f>
              <c:numCache/>
            </c:numRef>
          </c:val>
        </c:ser>
        <c:axId val="854393228"/>
        <c:axId val="223654871"/>
      </c:bar3DChart>
      <c:catAx>
        <c:axId val="85439322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[2018 - New Zealand Child Abuse in State Care Royal Commission announced; 2012 - Australian Royal Commission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223654871"/>
      </c:catAx>
      <c:valAx>
        <c:axId val="2236548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854393228"/>
      </c:valAx>
    </c:plotArea>
    <c:legend>
      <c:legendPos val="r"/>
      <c:overlay val="0"/>
      <c:txPr>
        <a:bodyPr/>
        <a:lstStyle/>
        <a:p>
          <a:pPr lvl="0">
            <a:defRPr b="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United Kingdom</a:t>
            </a:r>
          </a:p>
        </c:rich>
      </c:tx>
      <c:overlay val="0"/>
    </c:title>
    <c:view3D>
      <c:rotX val="15"/>
      <c:rotY val="20"/>
      <c:depthPercent val="100"/>
      <c:rAngAx val="1"/>
    </c:view3D>
    <c:plotArea>
      <c:layout/>
      <c:bar3DChart>
        <c:barDir val="col"/>
        <c:grouping val="clustered"/>
        <c:ser>
          <c:idx val="0"/>
          <c:order val="0"/>
          <c:tx>
            <c:strRef>
              <c:f>'Country Graphs'!$G$3</c:f>
            </c:strRef>
          </c:tx>
          <c:spPr>
            <a:solidFill>
              <a:srgbClr val="FF0000"/>
            </a:solidFill>
          </c:spPr>
          <c:dPt>
            <c:idx val="1"/>
          </c:dPt>
          <c:dPt>
            <c:idx val="2"/>
          </c:dPt>
          <c:dPt>
            <c:idx val="3"/>
          </c:dPt>
          <c:dPt>
            <c:idx val="4"/>
          </c:dPt>
          <c:dPt>
            <c:idx val="5"/>
          </c:dPt>
          <c:dPt>
            <c:idx val="6"/>
          </c:dPt>
          <c:dPt>
            <c:idx val="7"/>
          </c:dPt>
          <c:dPt>
            <c:idx val="8"/>
          </c:dPt>
          <c:dPt>
            <c:idx val="9"/>
          </c:dPt>
          <c:dPt>
            <c:idx val="10"/>
            <c:spPr>
              <a:solidFill>
                <a:srgbClr val="BF9000"/>
              </a:solidFill>
            </c:spPr>
          </c:dPt>
          <c:dPt>
            <c:idx val="12"/>
          </c:dPt>
          <c:dPt>
            <c:idx val="15"/>
          </c:dPt>
          <c:dPt>
            <c:idx val="16"/>
          </c:dPt>
          <c:dPt>
            <c:idx val="17"/>
            <c:spPr>
              <a:solidFill>
                <a:srgbClr val="A61C00"/>
              </a:solidFill>
            </c:spPr>
          </c:dPt>
          <c:dLbls>
            <c:dLbl>
              <c:idx val="16"/>
              <c:layout>
                <c:manualLayout>
                  <c:xMode val="edge"/>
                  <c:yMode val="edge"/>
                  <c:x val="0.8573821343612205"/>
                  <c:y val="0.20530628181906635"/>
                </c:manualLayout>
              </c:layout>
              <c:numFmt formatCode="General" sourceLinked="1"/>
              <c:txPr>
                <a:bodyPr/>
                <a:lstStyle/>
                <a:p>
                  <a:pPr lvl="0">
                    <a:defRPr b="1" sz="1000"/>
                  </a:pPr>
                </a:p>
              </c:txPr>
              <c:showLegendKey val="0"/>
              <c:showVal val="1"/>
              <c:showCatName val="0"/>
              <c:showSerName val="0"/>
              <c:showPercent val="0"/>
              <c:showBubbleSize val="0"/>
            </c:dLbl>
            <c:dLbl>
              <c:idx val="17"/>
              <c:layout>
                <c:manualLayout>
                  <c:xMode val="edge"/>
                  <c:yMode val="edge"/>
                  <c:x val="0.9218894804880496"/>
                  <c:y val="0.16403643675601332"/>
                </c:manualLayout>
              </c:layout>
              <c:numFmt formatCode="General" sourceLinked="1"/>
              <c:txPr>
                <a:bodyPr/>
                <a:lstStyle/>
                <a:p>
                  <a:pPr lvl="0">
                    <a:defRPr b="1" sz="1000"/>
                  </a:pPr>
                </a:p>
              </c:txPr>
              <c:showLegendKey val="0"/>
              <c:showVal val="1"/>
              <c:showCatName val="0"/>
              <c:showSerName val="0"/>
              <c:showPercent val="0"/>
              <c:showBubbleSize val="0"/>
            </c:dLbl>
            <c:numFmt formatCode="General" sourceLinked="1"/>
            <c:txPr>
              <a:bodyPr/>
              <a:lstStyle/>
              <a:p>
                <a:pPr lvl="0">
                  <a:defRPr b="1" sz="1000"/>
                </a:pPr>
              </a:p>
            </c:txPr>
            <c:showLegendKey val="0"/>
            <c:showVal val="1"/>
            <c:showCatName val="0"/>
            <c:showSerName val="0"/>
            <c:showPercent val="0"/>
            <c:showBubbleSize val="0"/>
          </c:dLbls>
          <c:cat>
            <c:strRef>
              <c:f>'Country Graphs'!$A$4:$A$21</c:f>
            </c:strRef>
          </c:cat>
          <c:val>
            <c:numRef>
              <c:f>'Country Graphs'!$G$4:$G$21</c:f>
              <c:numCache/>
            </c:numRef>
          </c:val>
        </c:ser>
        <c:axId val="734432602"/>
        <c:axId val="1488136171"/>
      </c:bar3DChart>
      <c:catAx>
        <c:axId val="73443260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[2014 - Independent Inquiry into Child Sexual Abuse (IICSA) announced]</a:t>
                </a:r>
              </a:p>
            </c:rich>
          </c:tx>
          <c:overlay val="0"/>
        </c:title>
        <c:numFmt formatCode="General" sourceLinked="1"/>
        <c:majorTickMark val="none"/>
        <c:minorTickMark val="none"/>
        <c:spPr/>
        <c:txPr>
          <a:bodyPr/>
          <a:lstStyle/>
          <a:p>
            <a:pPr lvl="0">
              <a:defRPr b="1">
                <a:solidFill>
                  <a:srgbClr val="000000"/>
                </a:solidFill>
                <a:latin typeface="+mn-lt"/>
              </a:defRPr>
            </a:pPr>
          </a:p>
        </c:txPr>
        <c:crossAx val="1488136171"/>
      </c:catAx>
      <c:valAx>
        <c:axId val="148813617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734432602"/>
      </c:valAx>
    </c:plotArea>
    <c:legend>
      <c:legendPos val="r"/>
      <c:overlay val="0"/>
      <c:txPr>
        <a:bodyPr/>
        <a:lstStyle/>
        <a:p>
          <a:pPr lvl="0">
            <a:defRPr b="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United States</a:t>
            </a:r>
          </a:p>
        </c:rich>
      </c:tx>
      <c:overlay val="0"/>
    </c:title>
    <c:view3D>
      <c:rotX val="15"/>
      <c:rotY val="20"/>
      <c:depthPercent val="100"/>
      <c:rAngAx val="1"/>
    </c:view3D>
    <c:plotArea>
      <c:layout/>
      <c:bar3DChart>
        <c:barDir val="col"/>
        <c:grouping val="clustered"/>
        <c:ser>
          <c:idx val="0"/>
          <c:order val="0"/>
          <c:tx>
            <c:strRef>
              <c:f>'Country Graphs'!$H$3</c:f>
            </c:strRef>
          </c:tx>
          <c:spPr>
            <a:solidFill>
              <a:srgbClr val="6FA8DC"/>
            </a:solidFill>
          </c:spPr>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spPr>
              <a:solidFill>
                <a:srgbClr val="BF9000"/>
              </a:solidFill>
            </c:spPr>
          </c:dPt>
          <c:dPt>
            <c:idx val="17"/>
            <c:spPr>
              <a:solidFill>
                <a:srgbClr val="A61C00"/>
              </a:solidFill>
            </c:spPr>
          </c:dPt>
          <c:dLbls>
            <c:dLbl>
              <c:idx val="0"/>
              <c:numFmt formatCode="General" sourceLinked="1"/>
              <c:txPr>
                <a:bodyPr/>
                <a:lstStyle/>
                <a:p>
                  <a:pPr lvl="0">
                    <a:defRPr sz="1000"/>
                  </a:pPr>
                </a:p>
              </c:txPr>
              <c:showLegendKey val="0"/>
              <c:showVal val="1"/>
              <c:showCatName val="0"/>
              <c:showSerName val="0"/>
              <c:showPercent val="0"/>
              <c:showBubbleSize val="0"/>
            </c:dLbl>
            <c:dLbl>
              <c:idx val="2"/>
              <c:numFmt formatCode="General" sourceLinked="1"/>
              <c:txPr>
                <a:bodyPr/>
                <a:lstStyle/>
                <a:p>
                  <a:pPr lvl="0">
                    <a:defRPr sz="1000"/>
                  </a:pPr>
                </a:p>
              </c:txPr>
              <c:showLegendKey val="0"/>
              <c:showVal val="1"/>
              <c:showCatName val="0"/>
              <c:showSerName val="0"/>
              <c:showPercent val="0"/>
              <c:showBubbleSize val="0"/>
            </c:dLbl>
            <c:dLbl>
              <c:idx val="4"/>
              <c:numFmt formatCode="General" sourceLinked="1"/>
              <c:txPr>
                <a:bodyPr/>
                <a:lstStyle/>
                <a:p>
                  <a:pPr lvl="0">
                    <a:defRPr sz="1000"/>
                  </a:pPr>
                </a:p>
              </c:txPr>
              <c:showLegendKey val="0"/>
              <c:showVal val="1"/>
              <c:showCatName val="0"/>
              <c:showSerName val="0"/>
              <c:showPercent val="0"/>
              <c:showBubbleSize val="0"/>
            </c:dLbl>
            <c:dLbl>
              <c:idx val="6"/>
              <c:numFmt formatCode="General" sourceLinked="1"/>
              <c:txPr>
                <a:bodyPr/>
                <a:lstStyle/>
                <a:p>
                  <a:pPr lvl="0">
                    <a:defRPr sz="1000"/>
                  </a:pPr>
                </a:p>
              </c:txPr>
              <c:showLegendKey val="0"/>
              <c:showVal val="1"/>
              <c:showCatName val="0"/>
              <c:showSerName val="0"/>
              <c:showPercent val="0"/>
              <c:showBubbleSize val="0"/>
            </c:dLbl>
            <c:dLbl>
              <c:idx val="8"/>
              <c:numFmt formatCode="General" sourceLinked="1"/>
              <c:txPr>
                <a:bodyPr/>
                <a:lstStyle/>
                <a:p>
                  <a:pPr lvl="0">
                    <a:defRPr sz="1000"/>
                  </a:pPr>
                </a:p>
              </c:txPr>
              <c:showLegendKey val="0"/>
              <c:showVal val="1"/>
              <c:showCatName val="0"/>
              <c:showSerName val="0"/>
              <c:showPercent val="0"/>
              <c:showBubbleSize val="0"/>
            </c:dLbl>
            <c:dLbl>
              <c:idx val="9"/>
              <c:numFmt formatCode="General" sourceLinked="1"/>
              <c:txPr>
                <a:bodyPr/>
                <a:lstStyle/>
                <a:p>
                  <a:pPr lvl="0">
                    <a:defRPr sz="1000"/>
                  </a:pPr>
                </a:p>
              </c:txPr>
              <c:showLegendKey val="0"/>
              <c:showVal val="1"/>
              <c:showCatName val="0"/>
              <c:showSerName val="0"/>
              <c:showPercent val="0"/>
              <c:showBubbleSize val="0"/>
            </c:dLbl>
            <c:dLbl>
              <c:idx val="11"/>
              <c:numFmt formatCode="General" sourceLinked="1"/>
              <c:txPr>
                <a:bodyPr/>
                <a:lstStyle/>
                <a:p>
                  <a:pPr lvl="0">
                    <a:defRPr sz="1000"/>
                  </a:pPr>
                </a:p>
              </c:txPr>
              <c:showLegendKey val="0"/>
              <c:showVal val="1"/>
              <c:showCatName val="0"/>
              <c:showSerName val="0"/>
              <c:showPercent val="0"/>
              <c:showBubbleSize val="0"/>
            </c:dLbl>
            <c:dLbl>
              <c:idx val="12"/>
              <c:numFmt formatCode="General" sourceLinked="1"/>
              <c:txPr>
                <a:bodyPr/>
                <a:lstStyle/>
                <a:p>
                  <a:pPr lvl="0">
                    <a:defRPr sz="1000"/>
                  </a:pPr>
                </a:p>
              </c:txPr>
              <c:showLegendKey val="0"/>
              <c:showVal val="1"/>
              <c:showCatName val="0"/>
              <c:showSerName val="0"/>
              <c:showPercent val="0"/>
              <c:showBubbleSize val="0"/>
            </c:dLbl>
            <c:dLbl>
              <c:idx val="13"/>
              <c:numFmt formatCode="General" sourceLinked="1"/>
              <c:txPr>
                <a:bodyPr/>
                <a:lstStyle/>
                <a:p>
                  <a:pPr lvl="0">
                    <a:defRPr sz="1000"/>
                  </a:pPr>
                </a:p>
              </c:txPr>
              <c:showLegendKey val="0"/>
              <c:showVal val="1"/>
              <c:showCatName val="0"/>
              <c:showSerName val="0"/>
              <c:showPercent val="0"/>
              <c:showBubbleSize val="0"/>
            </c:dLbl>
            <c:dLbl>
              <c:idx val="15"/>
              <c:numFmt formatCode="General" sourceLinked="1"/>
              <c:txPr>
                <a:bodyPr/>
                <a:lstStyle/>
                <a:p>
                  <a:pPr lvl="0">
                    <a:defRPr sz="1000"/>
                  </a:pPr>
                </a:p>
              </c:txPr>
              <c:showLegendKey val="0"/>
              <c:showVal val="1"/>
              <c:showCatName val="0"/>
              <c:showSerName val="0"/>
              <c:showPercent val="0"/>
              <c:showBubbleSize val="0"/>
            </c:dLbl>
            <c:dLbl>
              <c:idx val="17"/>
              <c:numFmt formatCode="General" sourceLinked="1"/>
              <c:txPr>
                <a:bodyPr/>
                <a:lstStyle/>
                <a:p>
                  <a:pPr lvl="0">
                    <a:defRPr sz="1000"/>
                  </a:pPr>
                </a:p>
              </c:txPr>
              <c:showLegendKey val="0"/>
              <c:showVal val="1"/>
              <c:showCatName val="0"/>
              <c:showSerName val="0"/>
              <c:showPercent val="0"/>
              <c:showBubbleSize val="0"/>
            </c:dLbl>
            <c:numFmt formatCode="General" sourceLinked="1"/>
            <c:txPr>
              <a:bodyPr/>
              <a:lstStyle/>
              <a:p>
                <a:pPr lvl="0">
                  <a:defRPr/>
                </a:pPr>
              </a:p>
            </c:txPr>
            <c:showLegendKey val="0"/>
            <c:showVal val="1"/>
            <c:showCatName val="0"/>
            <c:showSerName val="0"/>
            <c:showPercent val="0"/>
            <c:showBubbleSize val="0"/>
          </c:dLbls>
          <c:cat>
            <c:strRef>
              <c:f>'Country Graphs'!$A$4:$A$21</c:f>
            </c:strRef>
          </c:cat>
          <c:val>
            <c:numRef>
              <c:f>'Country Graphs'!$H$4:$H$21</c:f>
              <c:numCache/>
            </c:numRef>
          </c:val>
        </c:ser>
        <c:axId val="129197537"/>
        <c:axId val="1668777512"/>
      </c:bar3DChart>
      <c:catAx>
        <c:axId val="1291975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[2020 - New York Grand Jury into Institutional Child Abuse initiated]</a:t>
                </a:r>
              </a:p>
            </c:rich>
          </c:tx>
          <c:overlay val="0"/>
        </c:title>
        <c:numFmt formatCode="General" sourceLinked="1"/>
        <c:majorTickMark val="none"/>
        <c:minorTickMark val="none"/>
        <c:spPr/>
        <c:txPr>
          <a:bodyPr/>
          <a:lstStyle/>
          <a:p>
            <a:pPr lvl="0">
              <a:defRPr b="1">
                <a:solidFill>
                  <a:srgbClr val="000000"/>
                </a:solidFill>
                <a:latin typeface="+mn-lt"/>
              </a:defRPr>
            </a:pPr>
          </a:p>
        </c:txPr>
        <c:crossAx val="1668777512"/>
      </c:catAx>
      <c:valAx>
        <c:axId val="16687775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29197537"/>
      </c:valAx>
    </c:plotArea>
    <c:legend>
      <c:legendPos val="r"/>
      <c:overlay val="0"/>
      <c:txPr>
        <a:bodyPr/>
        <a:lstStyle/>
        <a:p>
          <a:pPr lvl="0">
            <a:defRPr b="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FFFFFF"/>
                </a:solidFill>
                <a:latin typeface="+mn-lt"/>
              </a:defRPr>
            </a:pPr>
            <a:r>
              <a:rPr b="0">
                <a:solidFill>
                  <a:srgbClr val="FFFFFF"/>
                </a:solidFill>
                <a:latin typeface="+mn-lt"/>
              </a:rPr>
              <a:t>Watchtower Property Sale Portfolio - Global</a:t>
            </a:r>
          </a:p>
        </c:rich>
      </c:tx>
      <c:overlay val="0"/>
    </c:title>
    <c:plotArea>
      <c:layout/>
      <c:barChart>
        <c:barDir val="col"/>
        <c:ser>
          <c:idx val="0"/>
          <c:order val="0"/>
          <c:tx>
            <c:strRef>
              <c:f>'Country Graphs'!$A$28</c:f>
            </c:strRef>
          </c:tx>
          <c:spPr>
            <a:solidFill>
              <a:schemeClr val="accent1"/>
            </a:solidFill>
          </c:spPr>
          <c:cat>
            <c:strRef>
              <c:f>'Country Graphs'!$A$29:$A$46</c:f>
            </c:strRef>
          </c:cat>
          <c:val>
            <c:numRef>
              <c:f>'Country Graphs'!$A$29:$A$46</c:f>
              <c:numCache/>
            </c:numRef>
          </c:val>
        </c:ser>
        <c:ser>
          <c:idx val="1"/>
          <c:order val="1"/>
          <c:tx>
            <c:strRef>
              <c:f>'Country Graphs'!$B$28</c:f>
            </c:strRef>
          </c:tx>
          <c:spPr>
            <a:solidFill>
              <a:srgbClr val="3C78D8"/>
            </a:solidFill>
          </c:spPr>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dPt>
          <c:dPt>
            <c:idx val="17"/>
            <c:spPr>
              <a:solidFill>
                <a:srgbClr val="980000"/>
              </a:solidFill>
            </c:spPr>
          </c:dPt>
          <c:dLbls>
            <c:dLbl>
              <c:idx val="0"/>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3"/>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5"/>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7"/>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9"/>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1"/>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3"/>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5"/>
              <c:numFmt formatCode="General" sourceLinked="1"/>
              <c:txPr>
                <a:bodyPr/>
                <a:lstStyle/>
                <a:p>
                  <a:pPr lvl="0">
                    <a:defRPr sz="1000">
                      <a:solidFill>
                        <a:srgbClr val="FFFFFF"/>
                      </a:solidFill>
                    </a:defRPr>
                  </a:pPr>
                </a:p>
              </c:txPr>
              <c:showLegendKey val="0"/>
              <c:showVal val="1"/>
              <c:showCatName val="0"/>
              <c:showSerName val="0"/>
              <c:showPercent val="0"/>
              <c:showBubbleSize val="0"/>
            </c:dLbl>
            <c:dLbl>
              <c:idx val="17"/>
              <c:layout>
                <c:manualLayout>
                  <c:xMode val="edge"/>
                  <c:yMode val="edge"/>
                  <c:x val="0.9403858007098416"/>
                  <c:y val="0.9598762506312531"/>
                </c:manualLayout>
              </c:layout>
              <c:numFmt formatCode="General" sourceLinked="1"/>
              <c:txPr>
                <a:bodyPr/>
                <a:lstStyle/>
                <a:p>
                  <a:pPr lvl="0">
                    <a:defRPr sz="1000">
                      <a:solidFill>
                        <a:srgbClr val="FFFFFF"/>
                      </a:solidFill>
                    </a:defRPr>
                  </a:pPr>
                </a:p>
              </c:txPr>
              <c:showLegendKey val="0"/>
              <c:showVal val="1"/>
              <c:showCatName val="0"/>
              <c:showSerName val="0"/>
              <c:showPercent val="0"/>
              <c:showBubbleSize val="0"/>
            </c:dLbl>
            <c:numFmt formatCode="General" sourceLinked="1"/>
            <c:txPr>
              <a:bodyPr/>
              <a:lstStyle/>
              <a:p>
                <a:pPr lvl="0">
                  <a:defRPr b="0">
                    <a:solidFill>
                      <a:srgbClr val="FFFFFF"/>
                    </a:solidFill>
                  </a:defRPr>
                </a:pPr>
              </a:p>
            </c:txPr>
            <c:showLegendKey val="0"/>
            <c:showVal val="1"/>
            <c:showCatName val="0"/>
            <c:showSerName val="0"/>
            <c:showPercent val="0"/>
            <c:showBubbleSize val="0"/>
          </c:dLbls>
          <c:trendline>
            <c:name>Trend</c:name>
            <c:spPr>
              <a:ln w="38100">
                <a:solidFill>
                  <a:srgbClr val="FF0000">
                    <a:alpha val="50196"/>
                  </a:srgbClr>
                </a:solidFill>
              </a:ln>
            </c:spPr>
            <c:trendlineType val="exp"/>
            <c:dispRSqr val="0"/>
            <c:dispEq val="0"/>
          </c:trendline>
          <c:cat>
            <c:strRef>
              <c:f>'Country Graphs'!$A$29:$A$46</c:f>
            </c:strRef>
          </c:cat>
          <c:val>
            <c:numRef>
              <c:f>'Country Graphs'!$B$29:$B$46</c:f>
              <c:numCache/>
            </c:numRef>
          </c:val>
        </c:ser>
        <c:axId val="1682970744"/>
        <c:axId val="601995548"/>
      </c:barChart>
      <c:areaChart>
        <c:ser>
          <c:idx val="2"/>
          <c:order val="2"/>
          <c:tx>
            <c:strRef>
              <c:f>'Country Graphs'!$B$28</c:f>
            </c:strRef>
          </c:tx>
          <c:spPr>
            <a:solidFill>
              <a:srgbClr val="434343">
                <a:alpha val="0"/>
              </a:srgbClr>
            </a:solidFill>
            <a:ln cmpd="sng" w="9525">
              <a:solidFill>
                <a:srgbClr val="434343"/>
              </a:solidFill>
              <a:prstDash val="sysDot"/>
            </a:ln>
          </c:spPr>
          <c:cat>
            <c:strRef>
              <c:f>'Country Graphs'!$A$29:$A$46</c:f>
            </c:strRef>
          </c:cat>
          <c:val>
            <c:numRef>
              <c:f>'Country Graphs'!$B$29:$B$46</c:f>
              <c:numCache/>
            </c:numRef>
          </c:val>
        </c:ser>
        <c:axId val="1682970744"/>
        <c:axId val="601995548"/>
      </c:areaChart>
      <c:catAx>
        <c:axId val="168297074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sz="1200">
                <a:solidFill>
                  <a:srgbClr val="FFFFFF"/>
                </a:solidFill>
                <a:latin typeface="+mn-lt"/>
              </a:defRPr>
            </a:pPr>
          </a:p>
        </c:txPr>
        <c:crossAx val="601995548"/>
      </c:catAx>
      <c:valAx>
        <c:axId val="601995548"/>
        <c:scaling>
          <c:orientation val="minMax"/>
        </c:scaling>
        <c:delete val="0"/>
        <c:axPos val="l"/>
        <c:majorGridlines>
          <c:spPr>
            <a:ln>
              <a:solidFill>
                <a:srgbClr val="FFFFFF"/>
              </a:solidFill>
            </a:ln>
          </c:spPr>
        </c:majorGridlines>
        <c:minorGridlines>
          <c:spPr>
            <a:ln>
              <a:solidFill>
                <a:srgbClr val="FFFFFF"/>
              </a:solidFill>
            </a:ln>
          </c:spPr>
        </c:minorGridlines>
        <c:title>
          <c:tx>
            <c:rich>
              <a:bodyPr/>
              <a:lstStyle/>
              <a:p>
                <a:pPr lvl="0">
                  <a:defRPr b="1" sz="1200">
                    <a:solidFill>
                      <a:srgbClr val="FFFFFF"/>
                    </a:solidFill>
                    <a:latin typeface="+mn-lt"/>
                  </a:defRPr>
                </a:pPr>
                <a:r>
                  <a:rPr b="1" sz="1200">
                    <a:solidFill>
                      <a:srgbClr val="FFFFFF"/>
                    </a:solidFill>
                    <a:latin typeface="+mn-lt"/>
                  </a:rPr>
                  <a:t>Value (Billions)</a:t>
                </a:r>
              </a:p>
            </c:rich>
          </c:tx>
          <c:overlay val="0"/>
        </c:title>
        <c:numFmt formatCode="General" sourceLinked="1"/>
        <c:majorTickMark val="none"/>
        <c:minorTickMark val="none"/>
        <c:tickLblPos val="nextTo"/>
        <c:spPr>
          <a:ln/>
        </c:spPr>
        <c:txPr>
          <a:bodyPr/>
          <a:lstStyle/>
          <a:p>
            <a:pPr lvl="0">
              <a:defRPr b="1" sz="1200">
                <a:solidFill>
                  <a:srgbClr val="FFFFFF"/>
                </a:solidFill>
                <a:latin typeface="+mn-lt"/>
              </a:defRPr>
            </a:pPr>
          </a:p>
        </c:txPr>
        <c:crossAx val="1682970744"/>
      </c:valAx>
    </c:plotArea>
    <c:plotVisOnly val="1"/>
  </c:chart>
  <c:spPr>
    <a:solidFill>
      <a:srgbClr val="666666"/>
    </a:solidFill>
  </c:spPr>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Watchtower Property Sale Portfolio - United States</a:t>
            </a:r>
          </a:p>
        </c:rich>
      </c:tx>
      <c:overlay val="0"/>
    </c:title>
    <c:view3D>
      <c:rotX val="15"/>
      <c:rotY val="20"/>
      <c:depthPercent val="100"/>
      <c:rAngAx val="1"/>
    </c:view3D>
    <c:plotArea>
      <c:layout/>
      <c:bar3DChart>
        <c:barDir val="col"/>
        <c:grouping val="clustered"/>
        <c:ser>
          <c:idx val="0"/>
          <c:order val="0"/>
          <c:tx>
            <c:strRef>
              <c:f>'Country Graphs'!$H$108</c:f>
            </c:strRef>
          </c:tx>
          <c:spPr>
            <a:solidFill>
              <a:srgbClr val="6FA8DC"/>
            </a:solidFill>
          </c:spPr>
          <c:dPt>
            <c:idx val="0"/>
          </c:dPt>
          <c:dPt>
            <c:idx val="1"/>
          </c:dPt>
          <c:dPt>
            <c:idx val="2"/>
          </c:dPt>
          <c:dPt>
            <c:idx val="3"/>
          </c:dPt>
          <c:dPt>
            <c:idx val="4"/>
          </c:dPt>
          <c:dPt>
            <c:idx val="5"/>
          </c:dPt>
          <c:dPt>
            <c:idx val="6"/>
          </c:dPt>
          <c:dPt>
            <c:idx val="7"/>
          </c:dPt>
          <c:dPt>
            <c:idx val="8"/>
          </c:dPt>
          <c:dPt>
            <c:idx val="9"/>
          </c:dPt>
          <c:dPt>
            <c:idx val="10"/>
          </c:dPt>
          <c:dPt>
            <c:idx val="11"/>
          </c:dPt>
          <c:dPt>
            <c:idx val="12"/>
          </c:dPt>
          <c:dPt>
            <c:idx val="13"/>
          </c:dPt>
          <c:dPt>
            <c:idx val="14"/>
          </c:dPt>
          <c:dPt>
            <c:idx val="15"/>
          </c:dPt>
          <c:dPt>
            <c:idx val="16"/>
            <c:spPr>
              <a:solidFill>
                <a:srgbClr val="BF9000"/>
              </a:solidFill>
            </c:spPr>
          </c:dPt>
          <c:dPt>
            <c:idx val="17"/>
            <c:spPr>
              <a:solidFill>
                <a:srgbClr val="A61C00"/>
              </a:solidFill>
            </c:spPr>
          </c:dPt>
          <c:dLbls>
            <c:dLbl>
              <c:idx val="0"/>
              <c:numFmt formatCode="General" sourceLinked="1"/>
              <c:txPr>
                <a:bodyPr/>
                <a:lstStyle/>
                <a:p>
                  <a:pPr lvl="0">
                    <a:defRPr sz="1000"/>
                  </a:pPr>
                </a:p>
              </c:txPr>
              <c:showLegendKey val="0"/>
              <c:showVal val="1"/>
              <c:showCatName val="0"/>
              <c:showSerName val="0"/>
              <c:showPercent val="0"/>
              <c:showBubbleSize val="0"/>
            </c:dLbl>
            <c:dLbl>
              <c:idx val="2"/>
              <c:numFmt formatCode="General" sourceLinked="1"/>
              <c:txPr>
                <a:bodyPr/>
                <a:lstStyle/>
                <a:p>
                  <a:pPr lvl="0">
                    <a:defRPr sz="1000"/>
                  </a:pPr>
                </a:p>
              </c:txPr>
              <c:showLegendKey val="0"/>
              <c:showVal val="1"/>
              <c:showCatName val="0"/>
              <c:showSerName val="0"/>
              <c:showPercent val="0"/>
              <c:showBubbleSize val="0"/>
            </c:dLbl>
            <c:dLbl>
              <c:idx val="4"/>
              <c:numFmt formatCode="General" sourceLinked="1"/>
              <c:txPr>
                <a:bodyPr/>
                <a:lstStyle/>
                <a:p>
                  <a:pPr lvl="0">
                    <a:defRPr sz="1000"/>
                  </a:pPr>
                </a:p>
              </c:txPr>
              <c:showLegendKey val="0"/>
              <c:showVal val="1"/>
              <c:showCatName val="0"/>
              <c:showSerName val="0"/>
              <c:showPercent val="0"/>
              <c:showBubbleSize val="0"/>
            </c:dLbl>
            <c:dLbl>
              <c:idx val="6"/>
              <c:numFmt formatCode="General" sourceLinked="1"/>
              <c:txPr>
                <a:bodyPr/>
                <a:lstStyle/>
                <a:p>
                  <a:pPr lvl="0">
                    <a:defRPr sz="1000"/>
                  </a:pPr>
                </a:p>
              </c:txPr>
              <c:showLegendKey val="0"/>
              <c:showVal val="1"/>
              <c:showCatName val="0"/>
              <c:showSerName val="0"/>
              <c:showPercent val="0"/>
              <c:showBubbleSize val="0"/>
            </c:dLbl>
            <c:dLbl>
              <c:idx val="8"/>
              <c:numFmt formatCode="General" sourceLinked="1"/>
              <c:txPr>
                <a:bodyPr/>
                <a:lstStyle/>
                <a:p>
                  <a:pPr lvl="0">
                    <a:defRPr sz="1000"/>
                  </a:pPr>
                </a:p>
              </c:txPr>
              <c:showLegendKey val="0"/>
              <c:showVal val="1"/>
              <c:showCatName val="0"/>
              <c:showSerName val="0"/>
              <c:showPercent val="0"/>
              <c:showBubbleSize val="0"/>
            </c:dLbl>
            <c:dLbl>
              <c:idx val="9"/>
              <c:numFmt formatCode="General" sourceLinked="1"/>
              <c:txPr>
                <a:bodyPr/>
                <a:lstStyle/>
                <a:p>
                  <a:pPr lvl="0">
                    <a:defRPr sz="1000"/>
                  </a:pPr>
                </a:p>
              </c:txPr>
              <c:showLegendKey val="0"/>
              <c:showVal val="1"/>
              <c:showCatName val="0"/>
              <c:showSerName val="0"/>
              <c:showPercent val="0"/>
              <c:showBubbleSize val="0"/>
            </c:dLbl>
            <c:dLbl>
              <c:idx val="11"/>
              <c:numFmt formatCode="General" sourceLinked="1"/>
              <c:txPr>
                <a:bodyPr/>
                <a:lstStyle/>
                <a:p>
                  <a:pPr lvl="0">
                    <a:defRPr sz="1000"/>
                  </a:pPr>
                </a:p>
              </c:txPr>
              <c:showLegendKey val="0"/>
              <c:showVal val="1"/>
              <c:showCatName val="0"/>
              <c:showSerName val="0"/>
              <c:showPercent val="0"/>
              <c:showBubbleSize val="0"/>
            </c:dLbl>
            <c:dLbl>
              <c:idx val="12"/>
              <c:numFmt formatCode="General" sourceLinked="1"/>
              <c:txPr>
                <a:bodyPr/>
                <a:lstStyle/>
                <a:p>
                  <a:pPr lvl="0">
                    <a:defRPr sz="1000"/>
                  </a:pPr>
                </a:p>
              </c:txPr>
              <c:showLegendKey val="0"/>
              <c:showVal val="1"/>
              <c:showCatName val="0"/>
              <c:showSerName val="0"/>
              <c:showPercent val="0"/>
              <c:showBubbleSize val="0"/>
            </c:dLbl>
            <c:dLbl>
              <c:idx val="13"/>
              <c:numFmt formatCode="General" sourceLinked="1"/>
              <c:txPr>
                <a:bodyPr/>
                <a:lstStyle/>
                <a:p>
                  <a:pPr lvl="0">
                    <a:defRPr sz="1000"/>
                  </a:pPr>
                </a:p>
              </c:txPr>
              <c:showLegendKey val="0"/>
              <c:showVal val="1"/>
              <c:showCatName val="0"/>
              <c:showSerName val="0"/>
              <c:showPercent val="0"/>
              <c:showBubbleSize val="0"/>
            </c:dLbl>
            <c:dLbl>
              <c:idx val="15"/>
              <c:numFmt formatCode="General" sourceLinked="1"/>
              <c:txPr>
                <a:bodyPr/>
                <a:lstStyle/>
                <a:p>
                  <a:pPr lvl="0">
                    <a:defRPr sz="1000"/>
                  </a:pPr>
                </a:p>
              </c:txPr>
              <c:showLegendKey val="0"/>
              <c:showVal val="1"/>
              <c:showCatName val="0"/>
              <c:showSerName val="0"/>
              <c:showPercent val="0"/>
              <c:showBubbleSize val="0"/>
            </c:dLbl>
            <c:dLbl>
              <c:idx val="17"/>
              <c:numFmt formatCode="General" sourceLinked="1"/>
              <c:txPr>
                <a:bodyPr/>
                <a:lstStyle/>
                <a:p>
                  <a:pPr lvl="0">
                    <a:defRPr sz="1000"/>
                  </a:pPr>
                </a:p>
              </c:txPr>
              <c:showLegendKey val="0"/>
              <c:showVal val="1"/>
              <c:showCatName val="0"/>
              <c:showSerName val="0"/>
              <c:showPercent val="0"/>
              <c:showBubbleSize val="0"/>
            </c:dLbl>
            <c:numFmt formatCode="General" sourceLinked="1"/>
            <c:txPr>
              <a:bodyPr/>
              <a:lstStyle/>
              <a:p>
                <a:pPr lvl="0">
                  <a:defRPr/>
                </a:pPr>
              </a:p>
            </c:txPr>
            <c:showLegendKey val="0"/>
            <c:showVal val="1"/>
            <c:showCatName val="0"/>
            <c:showSerName val="0"/>
            <c:showPercent val="0"/>
            <c:showBubbleSize val="0"/>
          </c:dLbls>
          <c:cat>
            <c:strRef>
              <c:f>'Country Graphs'!$A$109:$A$126</c:f>
            </c:strRef>
          </c:cat>
          <c:val>
            <c:numRef>
              <c:f>'Country Graphs'!$H$109:$H$126</c:f>
              <c:numCache/>
            </c:numRef>
          </c:val>
        </c:ser>
        <c:axId val="1883972390"/>
        <c:axId val="1700207295"/>
      </c:bar3DChart>
      <c:catAx>
        <c:axId val="188397239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Year [2020 - New York Grand Jury into Institutional Child Abuse initiated]</a:t>
                </a:r>
              </a:p>
            </c:rich>
          </c:tx>
          <c:overlay val="0"/>
        </c:title>
        <c:numFmt formatCode="General" sourceLinked="1"/>
        <c:majorTickMark val="none"/>
        <c:minorTickMark val="none"/>
        <c:spPr/>
        <c:txPr>
          <a:bodyPr/>
          <a:lstStyle/>
          <a:p>
            <a:pPr lvl="0">
              <a:defRPr b="1">
                <a:solidFill>
                  <a:srgbClr val="000000"/>
                </a:solidFill>
                <a:latin typeface="+mn-lt"/>
              </a:defRPr>
            </a:pPr>
          </a:p>
        </c:txPr>
        <c:crossAx val="1700207295"/>
      </c:catAx>
      <c:valAx>
        <c:axId val="17002072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Value (USD)</a:t>
                </a:r>
              </a:p>
            </c:rich>
          </c:tx>
          <c:overlay val="0"/>
        </c:title>
        <c:numFmt formatCode="General" sourceLinked="1"/>
        <c:majorTickMark val="none"/>
        <c:minorTickMark val="none"/>
        <c:tickLblPos val="nextTo"/>
        <c:spPr>
          <a:ln/>
        </c:spPr>
        <c:txPr>
          <a:bodyPr/>
          <a:lstStyle/>
          <a:p>
            <a:pPr lvl="0">
              <a:defRPr b="1" sz="1000">
                <a:solidFill>
                  <a:srgbClr val="000000"/>
                </a:solidFill>
                <a:latin typeface="+mn-lt"/>
              </a:defRPr>
            </a:pPr>
          </a:p>
        </c:txPr>
        <c:crossAx val="1883972390"/>
      </c:valAx>
    </c:plotArea>
    <c:legend>
      <c:legendPos val="r"/>
      <c:overlay val="0"/>
      <c:txPr>
        <a:bodyPr/>
        <a:lstStyle/>
        <a:p>
          <a:pPr lvl="0">
            <a:defRPr b="0">
              <a:solidFill>
                <a:srgbClr val="1A1A1A"/>
              </a:solidFill>
              <a:latin typeface="+mn-lt"/>
            </a:defRPr>
          </a:pPr>
        </a:p>
      </c:txPr>
    </c:legend>
    <c:plotVisOnly val="1"/>
  </c:chart>
</c:chartSpace>
</file>

<file path=xl/drawings/_rels/drawing5.xml.rels><?xml version="1.0" encoding="UTF-8" standalone="yes"?><Relationships xmlns="http://schemas.openxmlformats.org/package/2006/relationships"><Relationship Id="rId11" Type="http://schemas.openxmlformats.org/officeDocument/2006/relationships/chart" Target="../charts/chart11.xml"/><Relationship Id="rId10" Type="http://schemas.openxmlformats.org/officeDocument/2006/relationships/chart" Target="../charts/chart10.xml"/><Relationship Id="rId13" Type="http://schemas.openxmlformats.org/officeDocument/2006/relationships/chart" Target="../charts/chart13.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9" Type="http://schemas.openxmlformats.org/officeDocument/2006/relationships/chart" Target="../charts/chart9.xml"/><Relationship Id="rId15" Type="http://schemas.openxmlformats.org/officeDocument/2006/relationships/chart" Target="../charts/chart15.xml"/><Relationship Id="rId14" Type="http://schemas.openxmlformats.org/officeDocument/2006/relationships/chart" Target="../charts/chart14.xml"/><Relationship Id="rId16" Type="http://schemas.openxmlformats.org/officeDocument/2006/relationships/chart" Target="../charts/chart16.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942975</xdr:colOff>
      <xdr:row>78</xdr:row>
      <xdr:rowOff>0</xdr:rowOff>
    </xdr:from>
    <xdr:ext cx="8658225" cy="497205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19</xdr:col>
      <xdr:colOff>933450</xdr:colOff>
      <xdr:row>0</xdr:row>
      <xdr:rowOff>190500</xdr:rowOff>
    </xdr:from>
    <xdr:ext cx="8658225" cy="4972050"/>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9</xdr:col>
      <xdr:colOff>942975</xdr:colOff>
      <xdr:row>24</xdr:row>
      <xdr:rowOff>171450</xdr:rowOff>
    </xdr:from>
    <xdr:ext cx="8658225" cy="4972050"/>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19</xdr:col>
      <xdr:colOff>933450</xdr:colOff>
      <xdr:row>24</xdr:row>
      <xdr:rowOff>171450</xdr:rowOff>
    </xdr:from>
    <xdr:ext cx="8658225" cy="4972050"/>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9</xdr:col>
      <xdr:colOff>942975</xdr:colOff>
      <xdr:row>52</xdr:row>
      <xdr:rowOff>9525</xdr:rowOff>
    </xdr:from>
    <xdr:ext cx="8658225" cy="4972050"/>
    <xdr:graphicFrame>
      <xdr:nvGraphicFramePr>
        <xdr:cNvPr id="5" name="Chart 5"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19</xdr:col>
      <xdr:colOff>942975</xdr:colOff>
      <xdr:row>52</xdr:row>
      <xdr:rowOff>9525</xdr:rowOff>
    </xdr:from>
    <xdr:ext cx="8658225" cy="4972050"/>
    <xdr:graphicFrame>
      <xdr:nvGraphicFramePr>
        <xdr:cNvPr id="6" name="Chart 6"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9</xdr:col>
      <xdr:colOff>942975</xdr:colOff>
      <xdr:row>0</xdr:row>
      <xdr:rowOff>190500</xdr:rowOff>
    </xdr:from>
    <xdr:ext cx="8658225" cy="4972050"/>
    <xdr:graphicFrame>
      <xdr:nvGraphicFramePr>
        <xdr:cNvPr id="7" name="Chart 7" title="Chart"/>
        <xdr:cNvGraphicFramePr/>
      </xdr:nvGraphicFramePr>
      <xdr:xfrm>
        <a:off x="0" y="0"/>
        <a:ext cx="0" cy="0"/>
      </xdr:xfrm>
      <a:graphic>
        <a:graphicData uri="http://schemas.openxmlformats.org/drawingml/2006/chart">
          <c:chart r:id="rId7"/>
        </a:graphicData>
      </a:graphic>
    </xdr:graphicFrame>
    <xdr:clientData fLocksWithSheet="0"/>
  </xdr:oneCellAnchor>
  <xdr:oneCellAnchor>
    <xdr:from>
      <xdr:col>3</xdr:col>
      <xdr:colOff>409575</xdr:colOff>
      <xdr:row>24</xdr:row>
      <xdr:rowOff>171450</xdr:rowOff>
    </xdr:from>
    <xdr:ext cx="8896350" cy="4972050"/>
    <xdr:graphicFrame>
      <xdr:nvGraphicFramePr>
        <xdr:cNvPr id="8" name="Chart 8" title="Chart"/>
        <xdr:cNvGraphicFramePr/>
      </xdr:nvGraphicFramePr>
      <xdr:xfrm>
        <a:off x="0" y="0"/>
        <a:ext cx="0" cy="0"/>
      </xdr:xfrm>
      <a:graphic>
        <a:graphicData uri="http://schemas.openxmlformats.org/drawingml/2006/chart">
          <c:chart r:id="rId8"/>
        </a:graphicData>
      </a:graphic>
    </xdr:graphicFrame>
    <xdr:clientData fLocksWithSheet="0"/>
  </xdr:oneCellAnchor>
  <xdr:oneCellAnchor>
    <xdr:from>
      <xdr:col>9</xdr:col>
      <xdr:colOff>942975</xdr:colOff>
      <xdr:row>106</xdr:row>
      <xdr:rowOff>247650</xdr:rowOff>
    </xdr:from>
    <xdr:ext cx="8658225" cy="4972050"/>
    <xdr:graphicFrame>
      <xdr:nvGraphicFramePr>
        <xdr:cNvPr id="9" name="Chart 9" title="Chart"/>
        <xdr:cNvGraphicFramePr/>
      </xdr:nvGraphicFramePr>
      <xdr:xfrm>
        <a:off x="0" y="0"/>
        <a:ext cx="0" cy="0"/>
      </xdr:xfrm>
      <a:graphic>
        <a:graphicData uri="http://schemas.openxmlformats.org/drawingml/2006/chart">
          <c:chart r:id="rId9"/>
        </a:graphicData>
      </a:graphic>
    </xdr:graphicFrame>
    <xdr:clientData fLocksWithSheet="0"/>
  </xdr:oneCellAnchor>
  <xdr:oneCellAnchor>
    <xdr:from>
      <xdr:col>19</xdr:col>
      <xdr:colOff>933450</xdr:colOff>
      <xdr:row>106</xdr:row>
      <xdr:rowOff>247650</xdr:rowOff>
    </xdr:from>
    <xdr:ext cx="8658225" cy="4972050"/>
    <xdr:graphicFrame>
      <xdr:nvGraphicFramePr>
        <xdr:cNvPr id="10" name="Chart 10" title="Chart"/>
        <xdr:cNvGraphicFramePr/>
      </xdr:nvGraphicFramePr>
      <xdr:xfrm>
        <a:off x="0" y="0"/>
        <a:ext cx="0" cy="0"/>
      </xdr:xfrm>
      <a:graphic>
        <a:graphicData uri="http://schemas.openxmlformats.org/drawingml/2006/chart">
          <c:chart r:id="rId10"/>
        </a:graphicData>
      </a:graphic>
    </xdr:graphicFrame>
    <xdr:clientData fLocksWithSheet="0"/>
  </xdr:oneCellAnchor>
  <xdr:oneCellAnchor>
    <xdr:from>
      <xdr:col>9</xdr:col>
      <xdr:colOff>942975</xdr:colOff>
      <xdr:row>130</xdr:row>
      <xdr:rowOff>180975</xdr:rowOff>
    </xdr:from>
    <xdr:ext cx="8658225" cy="4972050"/>
    <xdr:graphicFrame>
      <xdr:nvGraphicFramePr>
        <xdr:cNvPr id="11" name="Chart 11" title="Chart"/>
        <xdr:cNvGraphicFramePr/>
      </xdr:nvGraphicFramePr>
      <xdr:xfrm>
        <a:off x="0" y="0"/>
        <a:ext cx="0" cy="0"/>
      </xdr:xfrm>
      <a:graphic>
        <a:graphicData uri="http://schemas.openxmlformats.org/drawingml/2006/chart">
          <c:chart r:id="rId11"/>
        </a:graphicData>
      </a:graphic>
    </xdr:graphicFrame>
    <xdr:clientData fLocksWithSheet="0"/>
  </xdr:oneCellAnchor>
  <xdr:oneCellAnchor>
    <xdr:from>
      <xdr:col>19</xdr:col>
      <xdr:colOff>933450</xdr:colOff>
      <xdr:row>130</xdr:row>
      <xdr:rowOff>180975</xdr:rowOff>
    </xdr:from>
    <xdr:ext cx="8658225" cy="4972050"/>
    <xdr:graphicFrame>
      <xdr:nvGraphicFramePr>
        <xdr:cNvPr id="12" name="Chart 12" title="Chart"/>
        <xdr:cNvGraphicFramePr/>
      </xdr:nvGraphicFramePr>
      <xdr:xfrm>
        <a:off x="0" y="0"/>
        <a:ext cx="0" cy="0"/>
      </xdr:xfrm>
      <a:graphic>
        <a:graphicData uri="http://schemas.openxmlformats.org/drawingml/2006/chart">
          <c:chart r:id="rId12"/>
        </a:graphicData>
      </a:graphic>
    </xdr:graphicFrame>
    <xdr:clientData fLocksWithSheet="0"/>
  </xdr:oneCellAnchor>
  <xdr:oneCellAnchor>
    <xdr:from>
      <xdr:col>9</xdr:col>
      <xdr:colOff>942975</xdr:colOff>
      <xdr:row>157</xdr:row>
      <xdr:rowOff>190500</xdr:rowOff>
    </xdr:from>
    <xdr:ext cx="8658225" cy="4972050"/>
    <xdr:graphicFrame>
      <xdr:nvGraphicFramePr>
        <xdr:cNvPr id="13" name="Chart 13" title="Chart"/>
        <xdr:cNvGraphicFramePr/>
      </xdr:nvGraphicFramePr>
      <xdr:xfrm>
        <a:off x="0" y="0"/>
        <a:ext cx="0" cy="0"/>
      </xdr:xfrm>
      <a:graphic>
        <a:graphicData uri="http://schemas.openxmlformats.org/drawingml/2006/chart">
          <c:chart r:id="rId13"/>
        </a:graphicData>
      </a:graphic>
    </xdr:graphicFrame>
    <xdr:clientData fLocksWithSheet="0"/>
  </xdr:oneCellAnchor>
  <xdr:oneCellAnchor>
    <xdr:from>
      <xdr:col>19</xdr:col>
      <xdr:colOff>942975</xdr:colOff>
      <xdr:row>157</xdr:row>
      <xdr:rowOff>190500</xdr:rowOff>
    </xdr:from>
    <xdr:ext cx="8658225" cy="4972050"/>
    <xdr:graphicFrame>
      <xdr:nvGraphicFramePr>
        <xdr:cNvPr id="14" name="Chart 14" title="Chart"/>
        <xdr:cNvGraphicFramePr/>
      </xdr:nvGraphicFramePr>
      <xdr:xfrm>
        <a:off x="0" y="0"/>
        <a:ext cx="0" cy="0"/>
      </xdr:xfrm>
      <a:graphic>
        <a:graphicData uri="http://schemas.openxmlformats.org/drawingml/2006/chart">
          <c:chart r:id="rId14"/>
        </a:graphicData>
      </a:graphic>
    </xdr:graphicFrame>
    <xdr:clientData fLocksWithSheet="0"/>
  </xdr:oneCellAnchor>
  <xdr:oneCellAnchor>
    <xdr:from>
      <xdr:col>9</xdr:col>
      <xdr:colOff>942975</xdr:colOff>
      <xdr:row>184</xdr:row>
      <xdr:rowOff>0</xdr:rowOff>
    </xdr:from>
    <xdr:ext cx="8658225" cy="4972050"/>
    <xdr:graphicFrame>
      <xdr:nvGraphicFramePr>
        <xdr:cNvPr id="15" name="Chart 15" title="Chart"/>
        <xdr:cNvGraphicFramePr/>
      </xdr:nvGraphicFramePr>
      <xdr:xfrm>
        <a:off x="0" y="0"/>
        <a:ext cx="0" cy="0"/>
      </xdr:xfrm>
      <a:graphic>
        <a:graphicData uri="http://schemas.openxmlformats.org/drawingml/2006/chart">
          <c:chart r:id="rId15"/>
        </a:graphicData>
      </a:graphic>
    </xdr:graphicFrame>
    <xdr:clientData fLocksWithSheet="0"/>
  </xdr:oneCellAnchor>
  <xdr:oneCellAnchor>
    <xdr:from>
      <xdr:col>2</xdr:col>
      <xdr:colOff>238125</xdr:colOff>
      <xdr:row>132</xdr:row>
      <xdr:rowOff>0</xdr:rowOff>
    </xdr:from>
    <xdr:ext cx="8896350" cy="4972050"/>
    <xdr:graphicFrame>
      <xdr:nvGraphicFramePr>
        <xdr:cNvPr id="16" name="Chart 16" title="Chart"/>
        <xdr:cNvGraphicFramePr/>
      </xdr:nvGraphicFramePr>
      <xdr:xfrm>
        <a:off x="0" y="0"/>
        <a:ext cx="0" cy="0"/>
      </xdr:xfrm>
      <a:graphic>
        <a:graphicData uri="http://schemas.openxmlformats.org/drawingml/2006/chart">
          <c:chart r:id="rId16"/>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R1648" sheet="Form Responses 1"/>
  </cacheSource>
  <cacheFields>
    <cacheField name="Timestamp" numFmtId="165">
      <sharedItems containsDate="1" containsString="0" containsBlank="1">
        <d v="2020-07-10T02:11:50Z"/>
        <d v="2020-04-25T03:27:02Z"/>
        <d v="2020-03-14T13:30:12Z"/>
        <d v="2020-03-11T08:44:36Z"/>
        <d v="2020-06-19T06:09:19Z"/>
        <d v="2020-06-12T17:28:20Z"/>
        <d v="2020-06-26T21:15:04Z"/>
        <d v="2020-06-26T21:16:10Z"/>
        <d v="2020-06-01T05:52:13Z"/>
        <d v="2020-04-26T09:47:55Z"/>
        <d v="2020-07-03T18:18:29Z"/>
        <d v="2020-03-11T22:35:44Z"/>
        <d v="2020-03-15T18:08:02Z"/>
        <d v="2020-05-23T14:57:39Z"/>
        <d v="2020-03-15T18:02:18Z"/>
        <d v="2020-03-11T20:12:07Z"/>
        <d v="2020-03-07T15:56:57Z"/>
        <d v="2020-03-11T19:56:59Z"/>
        <d v="2020-06-19T07:01:12Z"/>
        <d v="2020-03-11T20:08:11Z"/>
        <d v="2020-06-26T21:15:32Z"/>
        <d v="2020-09-09T10:46:43Z"/>
        <d v="2020-03-07T17:02:47Z"/>
        <d v="2020-06-19T06:02:16Z"/>
        <d v="2020-06-19T06:25:55Z"/>
        <d v="2020-03-15T16:38:13Z"/>
        <d v="2020-05-12T20:20:39Z"/>
        <d v="2020-06-19T06:14:18Z"/>
        <d v="2020-03-11T22:40:16Z"/>
        <d v="2020-03-11T22:26:20Z"/>
        <d v="2020-03-11T19:48:20Z"/>
        <d v="2020-07-24T20:09:24Z"/>
        <d v="2020-03-11T20:17:51Z"/>
        <d v="2020-04-12T21:24:26Z"/>
        <d v="2020-06-19T06:19:32Z"/>
        <d v="2020-07-01T13:35:08Z"/>
        <d v="2020-03-08T12:25:46Z"/>
        <d v="2020-03-11T19:28:36Z"/>
        <d v="2020-03-16T21:28:15Z"/>
        <d v="2020-08-19T14:10:39Z"/>
        <d v="2020-03-24T19:36:02Z"/>
        <d v="2020-04-09T23:46:44Z"/>
        <d v="2020-03-10T21:18:05Z"/>
        <d v="2020-06-16T04:36:15Z"/>
        <d v="2020-04-02T20:48:57Z"/>
        <d v="2020-03-29T15:15:17Z"/>
        <d v="2020-03-29T15:14:31Z"/>
        <d v="2020-03-25T19:32:26Z"/>
        <d v="2020-03-28T23:21:56Z"/>
        <d v="2020-05-19T07:19:08Z"/>
        <d v="2020-03-10T22:35:52Z"/>
        <d v="2020-04-22T16:37:25Z"/>
        <d v="2020-03-18T20:35:30Z"/>
        <d v="2020-05-20T09:17:37Z"/>
        <d v="2020-03-17T20:35:27Z"/>
        <d v="2020-04-23T08:42:59Z"/>
        <d v="2020-03-22T09:53:36Z"/>
        <d v="2020-03-24T21:04:20Z"/>
        <d v="2020-04-11T20:49:01Z"/>
        <d v="2020-03-11T22:56:35Z"/>
        <d v="2020-03-11T22:37:26Z"/>
        <d v="2020-04-02T01:01:27Z"/>
        <d v="2020-07-22T09:50:26Z"/>
        <d v="2020-03-11T22:43:48Z"/>
        <d v="2020-04-05T04:39:42Z"/>
        <d v="2020-04-04T03:55:17Z"/>
        <d v="2020-04-04T01:15:24Z"/>
        <d v="2020-04-04T09:12:11Z"/>
        <d v="2020-04-04T03:13:01Z"/>
        <d v="2020-04-04T09:03:54Z"/>
        <d v="2020-04-04T08:50:40Z"/>
        <d v="2020-04-02T20:39:28Z"/>
        <d v="2020-04-02T00:33:07Z"/>
        <d v="2020-04-02T00:42:36Z"/>
        <d v="2020-03-11T22:24:40Z"/>
        <d v="2020-04-04T04:26:05Z"/>
        <d v="2020-03-11T22:52:46Z"/>
        <d v="2020-04-19T21:17:19Z"/>
        <d v="2020-04-04T04:32:23Z"/>
        <d v="2020-04-04T01:23:28Z"/>
        <d v="2020-03-11T22:54:39Z"/>
        <d v="2020-04-04T04:14:47Z"/>
        <d v="2020-05-13T09:38:58Z"/>
        <d v="2020-04-04T04:00:43Z"/>
        <d v="2020-04-04T08:55:56Z"/>
        <d v="2020-03-11T20:14:22Z"/>
        <d v="2020-04-10T13:12:02Z"/>
        <d v="2020-05-01T06:56:50Z"/>
        <d v="2020-03-15T10:35:24Z"/>
        <d v="2020-03-18T21:41:35Z"/>
        <d v="2020-03-18T21:36:58Z"/>
        <d v="2020-03-18T21:23:03Z"/>
        <d v="2020-03-18T21:36:00Z"/>
        <d v="2020-03-18T21:39:12Z"/>
        <d v="2020-03-29T13:19:38Z"/>
        <d v="2020-03-10T21:01:02Z"/>
        <d v="2020-03-22T10:09:03Z"/>
        <d v="2020-03-18T05:56:10Z"/>
        <d v="2020-03-29T22:36:59Z"/>
        <d v="2020-03-11T20:23:15Z"/>
        <d v="2020-03-18T05:52:11Z"/>
        <d v="2020-03-13T22:42:20Z"/>
        <d v="2020-08-08T11:45:14Z"/>
        <d v="2020-07-22T10:44:35Z"/>
        <d v="2020-04-29T21:05:23Z"/>
        <d v="2020-03-11T22:18:36Z"/>
        <d v="2020-09-09T10:22:01Z"/>
        <d v="2020-09-09T08:27:20Z"/>
        <d v="2020-09-09T07:39:43Z"/>
        <d v="2020-09-09T07:02:57Z"/>
        <d v="2020-09-09T06:07:23Z"/>
        <d v="2020-09-09T07:47:07Z"/>
        <d v="2020-09-09T07:42:56Z"/>
        <d v="2020-08-18T12:43:46Z"/>
        <d v="2020-09-09T10:16:36Z"/>
        <d v="2020-08-18T12:33:56Z"/>
        <d v="2020-08-18T12:59:35Z"/>
        <d v="2020-09-09T10:05:07Z"/>
        <d v="2020-09-09T09:07:59Z"/>
        <d v="2020-09-09T09:21:04Z"/>
        <d v="2020-09-09T06:00:30Z"/>
        <d v="2020-09-09T06:27:39Z"/>
        <d v="2020-09-09T06:59:02Z"/>
        <d v="2020-09-09T05:53:55Z"/>
        <d v="2020-09-09T09:54:12Z"/>
        <d v="2020-09-09T10:42:41Z"/>
        <d v="2020-09-09T08:01:18Z"/>
        <d v="2020-08-18T13:20:11Z"/>
        <d v="2020-04-12T05:59:14Z"/>
        <d v="2020-09-09T07:08:08Z"/>
        <d v="2020-09-09T08:43:05Z"/>
        <d v="2020-09-09T08:09:27Z"/>
        <d v="2020-09-09T08:13:56Z"/>
        <d v="2020-09-09T07:50:34Z"/>
        <d v="2020-09-09T07:26:04Z"/>
        <d v="2020-08-18T12:12:53Z"/>
        <d v="2020-09-09T08:19:45Z"/>
        <d v="2020-09-09T08:30:56Z"/>
        <d v="2020-09-09T07:10:44Z"/>
        <d v="2020-09-09T10:33:35Z"/>
        <d v="2020-09-09T06:33:24Z"/>
        <d v="2020-09-09T07:35:09Z"/>
        <d v="2020-09-09T06:53:12Z"/>
        <d v="2020-09-09T06:21:56Z"/>
        <d v="2020-09-09T09:17:07Z"/>
        <d v="2020-09-09T08:47:19Z"/>
        <d v="2020-09-09T10:00:05Z"/>
        <d v="2020-09-09T07:56:52Z"/>
        <d v="2020-09-09T07:28:50Z"/>
        <d v="2020-09-09T07:23:05Z"/>
        <d v="2020-07-15T09:48:30Z"/>
        <d v="2020-04-10T02:29:12Z"/>
        <d v="2020-03-12T01:49:29Z"/>
        <d v="2020-03-08T13:23:56Z"/>
        <d v="2020-03-06T20:57:42Z"/>
        <d v="2020-03-08T14:08:31Z"/>
        <d v="2020-03-14T15:36:25Z"/>
        <d v="2020-03-07T12:18:18Z"/>
        <d v="2020-03-14T13:35:29Z"/>
        <d v="2020-03-14T13:42:04Z"/>
        <d v="2020-03-28T22:40:52Z"/>
        <d v="2020-03-15T21:27:54Z"/>
        <d v="2020-03-14T13:48:47Z"/>
        <d v="2020-03-14T14:08:13Z"/>
        <d v="2020-03-27T07:04:44Z"/>
        <d v="2020-03-10T21:46:13Z"/>
        <d v="2020-03-10T21:48:21Z"/>
        <d v="2020-04-10T13:14:19Z"/>
        <d v="2020-03-23T18:53:59Z"/>
        <d v="2020-03-14T16:00:55Z"/>
        <d v="2020-03-14T16:17:35Z"/>
        <d v="2020-03-14T16:34:26Z"/>
        <d v="2020-03-15T10:31:59Z"/>
        <d v="2020-03-17T21:02:36Z"/>
        <d v="2020-03-15T11:34:35Z"/>
        <d v="2020-03-15T11:37:53Z"/>
        <d v="2020-03-15T21:43:11Z"/>
        <d v="2020-03-15T21:46:08Z"/>
        <d v="2020-03-14T13:32:10Z"/>
        <d v="2020-03-27T06:23:42Z"/>
        <d v="2020-03-19T22:15:43Z"/>
        <d v="2020-03-22T12:04:03Z"/>
        <d v="2020-03-22T12:13:12Z"/>
        <d v="2020-03-23T19:40:37Z"/>
        <d v="2020-03-31T18:21:21Z"/>
        <d v="2020-03-26T21:08:53Z"/>
        <d v="2020-03-27T07:07:47Z"/>
        <d v="2020-03-28T22:33:34Z"/>
        <d v="2020-03-16T20:43:59Z"/>
        <d v="2020-03-27T07:10:43Z"/>
        <d v="2020-03-28T22:38:45Z"/>
        <d v="2020-03-27T07:13:29Z"/>
        <d v="2020-03-28T22:35:36Z"/>
        <d v="2020-03-14T14:25:58Z"/>
        <d v="2020-03-14T14:34:56Z"/>
        <d v="2020-03-25T16:54:36Z"/>
        <d v="2020-03-14T18:36:03Z"/>
        <d v="2020-03-14T13:46:00Z"/>
        <d v="2020-03-08T13:26:47Z"/>
        <d v="2020-03-07T12:30:37Z"/>
        <d v="2020-04-11T22:30:06Z"/>
        <d v="2020-03-11T23:52:11Z"/>
        <d v="2020-03-11T23:01:55Z"/>
        <d v="2020-03-06T20:54:37Z"/>
        <d v="2020-03-06T20:28:08Z"/>
        <d v="2020-03-29T03:50:25Z"/>
        <d v="2020-07-17T07:36:43Z"/>
        <d v="2020-03-15T11:01:12Z"/>
        <d v="2020-03-12T02:46:43Z"/>
        <d v="2020-03-12T00:40:39Z"/>
        <d v="2020-07-15T21:51:04Z"/>
        <d v="2020-07-22T09:45:40Z"/>
        <d v="2020-03-20T00:50:14Z"/>
        <d v="2020-08-18T00:57:12Z"/>
        <d v="2020-03-28T09:46:25Z"/>
        <d v="2020-03-12T00:24:17Z"/>
        <d v="2020-04-10T13:52:37Z"/>
        <d v="2020-04-13T09:58:58Z"/>
        <d v="2020-04-10T03:56:34Z"/>
        <d v="2020-03-29T04:09:21Z"/>
        <d v="2020-04-14T19:20:28Z"/>
        <d v="2020-04-10T02:22:32Z"/>
        <d v="2020-03-20T01:27:28Z"/>
        <d v="2020-04-10T14:10:52Z"/>
        <d v="2020-03-20T01:17:19Z"/>
        <d v="2020-03-22T09:56:56Z"/>
        <d v="2020-06-19T08:25:05Z"/>
        <d v="2020-04-17T00:04:07Z"/>
        <d v="2020-03-06T21:06:21Z"/>
        <d v="2020-03-12T00:46:01Z"/>
        <d v="2020-03-06T21:17:32Z"/>
        <d v="2020-03-10T21:19:27Z"/>
        <d v="2020-03-07T05:28:04Z"/>
        <d v="2020-03-21T15:11:16Z"/>
        <d v="2020-03-07T05:29:53Z"/>
        <d v="2020-03-30T20:29:06Z"/>
        <d v="2020-03-10T22:25:01Z"/>
        <d v="2020-05-20T11:26:27Z"/>
        <d v="2020-05-20T11:50:14Z"/>
        <d v="2020-05-20T11:51:36Z"/>
        <d v="2020-05-20T11:52:35Z"/>
        <d v="2020-05-20T11:28:30Z"/>
        <d v="2020-05-20T11:31:31Z"/>
        <d v="2020-05-20T11:35:18Z"/>
        <d v="2020-05-20T11:36:49Z"/>
        <d v="2020-05-20T11:39:01Z"/>
        <d v="2020-05-20T11:40:23Z"/>
        <d v="2020-05-20T11:41:54Z"/>
        <d v="2020-05-20T11:43:14Z"/>
        <d v="2020-05-20T11:45:15Z"/>
        <d v="2020-05-20T11:46:26Z"/>
        <d v="2020-05-20T11:56:32Z"/>
        <d v="2020-05-20T11:57:48Z"/>
        <d v="2020-05-20T12:00:16Z"/>
        <d v="2020-05-20T11:59:15Z"/>
        <d v="2020-03-21T11:26:33Z"/>
        <d v="2020-03-21T11:31:32Z"/>
        <d v="2020-03-21T11:34:00Z"/>
        <d v="2020-03-21T11:23:56Z"/>
        <d v="2020-03-07T16:20:36Z"/>
        <d v="2020-03-07T17:12:15Z"/>
        <d v="2020-03-29T12:52:49Z"/>
        <d v="2020-03-08T11:54:16Z"/>
        <d v="2020-06-13T17:34:35Z"/>
        <d v="2020-03-19T21:56:07Z"/>
        <d v="2020-03-15T21:57:59Z"/>
        <d v="2020-06-13T17:48:54Z"/>
        <d v="2020-03-12T00:18:41Z"/>
        <d v="2020-03-21T10:23:48Z"/>
        <d v="2020-03-21T10:43:38Z"/>
        <d v="2020-03-21T10:27:50Z"/>
        <d v="2020-03-21T10:46:14Z"/>
        <d v="2020-03-21T10:30:40Z"/>
        <d v="2020-03-21T10:48:55Z"/>
        <d v="2020-03-21T10:33:10Z"/>
        <d v="2020-03-21T10:52:11Z"/>
        <d v="2020-03-21T10:35:13Z"/>
        <d v="2020-03-21T10:54:11Z"/>
        <d v="2020-03-21T10:37:48Z"/>
        <d v="2020-03-21T10:56:51Z"/>
        <d v="2020-03-21T10:59:27Z"/>
        <d v="2020-03-21T11:01:46Z"/>
        <d v="2020-03-21T11:04:17Z"/>
        <d v="2020-03-21T14:33:04Z"/>
        <d v="2020-03-21T20:17:27Z"/>
        <d v="2020-03-21T13:10:23Z"/>
        <d v="2020-03-21T14:22:22Z"/>
        <d v="2020-03-21T10:11:08Z"/>
        <d v="2020-07-15T21:40:55Z"/>
        <d v="2020-03-21T14:41:52Z"/>
        <d v="2020-03-21T15:27:56Z"/>
        <d v="2020-07-15T21:43:52Z"/>
        <d v="2020-03-21T14:27:59Z"/>
        <d v="2020-03-21T14:35:02Z"/>
        <d v="2020-07-15T21:42:17Z"/>
        <d v="2020-03-21T14:40:01Z"/>
        <d v="2020-03-21T11:11:18Z"/>
        <d v="2020-07-15T21:47:47Z"/>
        <d v="2020-03-21T14:05:00Z"/>
        <d v="2020-03-21T14:37:15Z"/>
        <d v="2020-03-22T11:40:23Z"/>
        <d v="2020-07-15T21:45:56Z"/>
        <d v="2020-03-23T19:45:34Z"/>
        <d v="2020-03-25T17:57:09Z"/>
        <d v="2020-03-26T22:23:15Z"/>
        <d v="2020-03-26T22:46:20Z"/>
        <d v="2020-03-27T06:56:10Z"/>
        <d v="2020-03-28T09:30:46Z"/>
        <d v="2020-03-29T12:30:09Z"/>
        <d v="2020-03-29T14:22:29Z"/>
        <d v="2020-03-30T21:15:32Z"/>
        <d v="2020-03-08T13:03:43Z"/>
        <d v="2020-03-18T19:41:49Z"/>
        <d v="2020-03-06T21:51:12Z"/>
        <d v="2020-04-17T05:12:47Z"/>
        <d v="2020-07-01T09:20:28Z"/>
        <d v="2020-04-17T05:21:48Z"/>
        <d v="2020-06-12T17:30:21Z"/>
        <d v="2020-04-17T05:00:17Z"/>
        <d v="2020-05-24T22:11:39Z"/>
        <d v="2020-05-24T22:30:19Z"/>
        <d v="2020-05-24T22:43:19Z"/>
        <d v="2020-05-24T23:50:55Z"/>
        <d v="2020-05-25T10:42:42Z"/>
        <d v="2020-05-25T00:26:36Z"/>
        <d v="2020-05-25T00:43:48Z"/>
        <d v="2020-05-25T07:46:15Z"/>
        <d v="2020-05-08T06:38:17Z"/>
        <d v="2020-05-25T08:15:43Z"/>
        <d v="2020-03-26T21:11:40Z"/>
        <d v="2020-03-28T22:49:26Z"/>
        <d v="2020-05-30T22:09:59Z"/>
        <d v="2020-05-24T08:28:18Z"/>
        <d v="2020-05-24T07:21:16Z"/>
        <d v="2020-05-24T07:15:10Z"/>
        <d v="2020-05-25T00:09:05Z"/>
        <d v="2020-05-16T09:35:35Z"/>
        <d v="2020-03-15T22:07:20Z"/>
        <d v="2020-04-22T06:39:02Z"/>
        <d v="2020-04-22T06:55:50Z"/>
        <d v="2020-03-27T06:49:15Z"/>
        <d v="2020-03-28T13:10:59Z"/>
        <d v="2020-03-28T12:40:25Z"/>
        <d v="2020-04-17T01:03:02Z"/>
        <d v="2020-03-28T12:39:26Z"/>
        <d v="2020-04-19T23:18:45Z"/>
        <d v="2020-04-20T01:37:52Z"/>
        <d v="2020-04-19T23:39:47Z"/>
        <d v="2020-04-02T20:53:47Z"/>
        <d v="2020-04-17T13:57:22Z"/>
        <d v="2020-03-15T22:16:44Z"/>
        <d v="2020-03-21T20:50:32Z"/>
        <d v="2020-03-21T20:57:03Z"/>
        <d v="2020-03-25T18:23:33Z"/>
        <d v="2020-03-26T20:55:25Z"/>
        <d v="2020-08-17T12:37:47Z"/>
        <d v="2020-03-28T22:25:08Z"/>
        <d v="2020-03-07T11:52:50Z"/>
        <d v="2020-03-08T12:15:58Z"/>
        <d v="2020-03-19T22:01:08Z"/>
        <d v="2020-04-12T04:33:21Z"/>
        <d v="2020-05-23T11:20:45Z"/>
        <d v="2020-03-28T13:18:55Z"/>
        <d v="2020-03-15T11:32:13Z"/>
        <d v="2020-03-23T18:45:55Z"/>
        <d v="2020-03-24T19:50:59Z"/>
        <d v="2020-03-23T19:37:55Z"/>
        <d v="2020-03-28T13:05:10Z"/>
        <d v="2020-03-06T21:15:07Z"/>
        <d v="2020-03-15T10:29:05Z"/>
        <d v="2020-03-28T13:00:23Z"/>
        <d v="2020-03-14T17:06:16Z"/>
        <d v="2020-05-23T11:06:47Z"/>
        <d v="2020-03-26T21:53:46Z"/>
        <d v="2020-03-29T15:17:05Z"/>
        <d v="2020-03-07T15:22:39Z"/>
        <d v="2020-04-10T14:01:40Z"/>
        <d v="2020-03-15T11:29:11Z"/>
        <d v="2020-03-17T19:31:25Z"/>
        <d v="2020-03-17T20:11:15Z"/>
        <d v="2020-03-23T19:31:26Z"/>
        <d v="2020-06-13T16:22:58Z"/>
        <d v="2020-04-22T04:22:37Z"/>
        <d v="2020-04-22T04:45:46Z"/>
        <d v="2020-04-22T04:58:55Z"/>
        <d v="2020-04-22T05:04:01Z"/>
        <d v="2020-04-22T05:10:14Z"/>
        <d v="2020-03-14T18:19:04Z"/>
        <d v="2020-04-22T05:16:09Z"/>
        <d v="2020-04-22T05:19:45Z"/>
        <d v="2020-04-22T05:22:30Z"/>
        <d v="2020-04-22T05:28:53Z"/>
        <d v="2020-03-26T21:57:39Z"/>
        <d v="2020-04-22T05:33:31Z"/>
        <d v="2020-04-22T05:38:53Z"/>
        <d v="2020-03-25T18:28:33Z"/>
        <d v="2020-03-26T21:46:14Z"/>
        <d v="2020-06-04T06:21:05Z"/>
        <d v="2020-05-01T21:55:00Z"/>
        <d v="2020-03-07T05:24:06Z"/>
        <d v="2020-06-04T07:07:30Z"/>
        <d v="2020-03-07T14:20:10Z"/>
        <d v="2020-03-07T14:22:07Z"/>
        <d v="2020-06-12T16:42:17Z"/>
        <d v="2020-06-12T16:38:38Z"/>
        <d v="2020-06-06T22:05:21Z"/>
        <d v="2020-06-06T23:37:28Z"/>
        <d v="2020-06-18T04:39:31Z"/>
        <d v="2020-06-24T06:46:43Z"/>
        <d v="2020-06-18T04:30:50Z"/>
        <d v="2020-06-18T04:56:32Z"/>
        <d v="2020-03-22T13:03:24Z"/>
        <d v="2020-03-23T19:26:24Z"/>
        <d v="2020-06-18T07:18:00Z"/>
        <d v="2020-06-18T08:21:06Z"/>
        <d v="2020-06-18T08:33:29Z"/>
        <d v="2020-06-18T08:26:39Z"/>
        <d v="2020-06-19T08:30:38Z"/>
        <d v="2020-06-18T08:52:27Z"/>
        <d v="2020-03-08T13:39:10Z"/>
        <d v="2020-06-19T08:26:39Z"/>
        <d v="2020-03-16T21:08:07Z"/>
        <d v="2020-03-16T21:19:17Z"/>
        <d v="2020-03-18T21:51:47Z"/>
        <d v="2020-03-28T23:14:59Z"/>
        <d v="2020-03-28T12:46:11Z"/>
        <d v="2020-03-14T17:20:06Z"/>
        <d v="2020-03-19T22:10:21Z"/>
        <d v="2020-03-21T21:05:44Z"/>
        <d v="2020-03-22T10:17:17Z"/>
        <d v="2020-03-25T18:11:28Z"/>
        <d v="2020-03-25T19:53:50Z"/>
        <d v="2020-03-28T13:20:55Z"/>
        <d v="2020-03-29T15:18:23Z"/>
        <d v="2020-03-28T13:23:13Z"/>
        <d v="2020-05-19T07:23:50Z"/>
        <d v="2020-05-14T23:33:56Z"/>
        <d v="2020-05-15T06:07:09Z"/>
        <d v="2020-05-15T06:39:46Z"/>
        <d v="2020-05-15T08:23:53Z"/>
        <d v="2020-05-19T07:37:42Z"/>
        <d v="2020-05-16T05:09:08Z"/>
        <d v="2020-05-16T05:11:19Z"/>
        <d v="2020-05-16T05:17:40Z"/>
        <d v="2020-05-16T05:23:20Z"/>
        <d v="2020-05-16T05:44:09Z"/>
        <d v="2020-05-16T05:56:06Z"/>
        <d v="2020-05-16T06:02:59Z"/>
        <d v="2020-03-10T21:14:41Z"/>
        <d v="2020-05-07T06:26:35Z"/>
        <d v="2020-05-07T06:33:24Z"/>
        <d v="2020-05-07T06:39:37Z"/>
        <d v="2020-05-07T06:50:54Z"/>
        <d v="2020-05-07T07:18:50Z"/>
        <d v="2020-05-10T03:49:58Z"/>
        <d v="2020-03-29T12:43:38Z"/>
        <d v="2020-05-10T03:59:07Z"/>
        <d v="2020-05-10T04:03:43Z"/>
        <d v="2020-05-21T23:52:23Z"/>
        <d v="2020-05-21T23:42:40Z"/>
        <d v="2020-05-22T00:26:56Z"/>
        <d v="2020-05-22T00:31:47Z"/>
        <d v="2020-05-22T00:52:14Z"/>
        <d v="2020-05-22T00:58:00Z"/>
        <d v="2020-05-22T01:06:33Z"/>
        <d v="2020-05-22T00:18:54Z"/>
        <d v="2020-03-28T10:02:09Z"/>
        <d v="2020-05-01T07:39:47Z"/>
        <d v="2020-05-01T08:23:39Z"/>
        <d v="2020-05-01T08:35:01Z"/>
        <d v="2020-04-10T10:40:33Z"/>
        <d v="2020-04-07T07:03:18Z"/>
        <d v="2020-04-07T07:08:05Z"/>
        <d v="2020-04-10T13:00:47Z"/>
        <d v="2020-04-07T07:22:25Z"/>
        <d v="2020-04-07T07:27:33Z"/>
        <d v="2020-04-23T11:39:08Z"/>
        <d v="2020-04-07T07:39:03Z"/>
        <d v="2020-04-07T07:45:59Z"/>
        <d v="2020-04-07T07:41:13Z"/>
        <d v="2020-04-07T07:51:07Z"/>
        <d v="2020-04-07T22:36:10Z"/>
        <d v="2020-04-07T22:42:00Z"/>
        <d v="2020-03-29T15:07:51Z"/>
        <d v="2020-04-02T07:20:31Z"/>
        <d v="2020-04-07T22:45:41Z"/>
        <d v="2020-04-08T04:28:16Z"/>
        <d v="2020-04-08T04:43:16Z"/>
        <d v="2020-03-29T15:07:19Z"/>
        <d v="2020-04-08T04:56:00Z"/>
        <d v="2020-03-29T15:06:48Z"/>
        <d v="2020-08-17T21:24:04Z"/>
        <d v="2020-04-08T05:03:43Z"/>
        <d v="2020-04-08T05:41:25Z"/>
        <d v="2020-04-09T00:03:07Z"/>
        <d v="2020-04-09T00:21:08Z"/>
        <d v="2020-04-09T00:34:08Z"/>
        <d v="2020-04-09T00:07:59Z"/>
        <d v="2020-04-09T00:14:51Z"/>
        <d v="2020-03-08T12:21:18Z"/>
        <d v="2020-04-08T06:08:26Z"/>
        <d v="2020-04-08T06:30:29Z"/>
        <d v="2020-04-09T00:24:35Z"/>
        <d v="2020-04-09T00:28:33Z"/>
        <d v="2020-04-08T23:32:20Z"/>
        <d v="2020-04-08T23:36:07Z"/>
        <d v="2020-04-10T13:18:32Z"/>
        <d v="2020-04-09T00:53:39Z"/>
        <d v="2020-03-29T15:13:23Z"/>
        <d v="2020-03-29T15:06:17Z"/>
        <d v="2020-06-23T02:39:58Z"/>
        <d v="2020-06-23T03:55:14Z"/>
        <d v="2020-06-23T03:56:33Z"/>
        <d v="2020-03-14T19:52:11Z"/>
        <d v="2020-06-23T03:58:18Z"/>
        <d v="2020-06-23T04:00:07Z"/>
        <d v="2020-06-23T04:09:39Z"/>
        <d v="2020-03-29T14:59:04Z"/>
        <d v="2020-06-23T04:16:05Z"/>
        <d v="2020-06-23T04:18:27Z"/>
        <d v="2020-06-23T04:13:31Z"/>
        <d v="2020-06-23T04:14:43Z"/>
        <d v="2020-07-08T16:09:05Z"/>
        <d v="2020-06-23T04:20:07Z"/>
        <d v="2020-06-23T04:21:20Z"/>
        <d v="2020-05-25T20:00:44Z"/>
        <d v="2020-03-29T14:58:11Z"/>
        <d v="2020-03-29T14:57:34Z"/>
        <d v="2020-03-28T13:32:49Z"/>
        <d v="2020-04-06T23:41:43Z"/>
        <d v="2020-04-06T23:53:07Z"/>
        <d v="2020-04-06T23:49:41Z"/>
        <d v="2020-04-06T23:57:20Z"/>
        <d v="2020-04-07T00:00:54Z"/>
        <d v="2020-04-07T00:05:21Z"/>
        <d v="2020-04-07T00:11:26Z"/>
        <d v="2020-04-07T00:37:32Z"/>
        <d v="2020-04-07T06:58:44Z"/>
        <d v="2020-03-28T13:32:14Z"/>
        <d v="2020-04-06T23:25:08Z"/>
        <d v="2020-03-28T13:31:27Z"/>
        <d v="2020-04-06T23:14:52Z"/>
        <d v="2020-03-28T13:27:38Z"/>
        <d v="2020-04-06T22:51:19Z"/>
        <d v="2020-04-06T01:57:56Z"/>
        <d v="2020-04-06T01:57:02Z"/>
        <d v="2020-03-22T12:42:12Z"/>
        <d v="2020-03-24T17:13:07Z"/>
        <d v="2020-03-24T17:06:01Z"/>
        <d v="2020-03-28T13:30:56Z"/>
        <d v="2020-04-06T00:32:59Z"/>
        <d v="2020-04-06T00:26:04Z"/>
        <d v="2020-04-05T23:06:33Z"/>
        <d v="2020-03-26T22:08:41Z"/>
        <d v="2020-04-10T13:38:11Z"/>
        <d v="2020-04-05T22:52:25Z"/>
        <d v="2020-03-28T13:29:51Z"/>
        <d v="2020-04-05T04:27:58Z"/>
        <d v="2020-04-05T04:16:55Z"/>
        <d v="2020-03-28T13:29:20Z"/>
        <d v="2020-04-05T04:13:13Z"/>
        <d v="2020-04-05T04:06:52Z"/>
        <d v="2020-03-29T15:11:27Z"/>
        <d v="2020-04-05T03:42:22Z"/>
        <d v="2020-04-05T04:02:22Z"/>
        <d v="2020-03-29T13:03:44Z"/>
        <d v="2020-04-05T03:48:03Z"/>
        <d v="2020-04-05T03:34:23Z"/>
        <d v="2020-04-05T03:29:41Z"/>
        <d v="2020-04-05T03:16:15Z"/>
        <d v="2020-04-05T02:58:48Z"/>
        <d v="2020-03-29T15:12:16Z"/>
        <d v="2020-04-05T02:24:17Z"/>
        <d v="2020-04-05T01:57:39Z"/>
        <d v="2020-04-05T01:44:45Z"/>
        <d v="2020-06-24T09:00:27Z"/>
        <d v="2020-03-14T18:41:39Z"/>
        <d v="2020-06-11T23:50:34Z"/>
        <d v="2020-03-16T20:58:00Z"/>
        <d v="2020-03-14T15:54:37Z"/>
        <d v="2020-03-17T19:47:15Z"/>
        <d v="2020-03-22T11:33:35Z"/>
        <d v="2020-04-11T06:37:30Z"/>
        <d v="2020-03-24T19:40:56Z"/>
        <d v="2020-05-23T10:40:53Z"/>
        <d v="2020-03-29T13:45:06Z"/>
        <d v="2020-03-08T13:32:26Z"/>
        <d v="2020-03-07T14:11:51Z"/>
        <d v="2020-03-15T22:02:20Z"/>
        <d v="2020-05-23T11:16:26Z"/>
        <d v="2020-03-29T15:19:05Z"/>
        <d v="2020-08-21T02:02:29Z"/>
        <d v="2020-05-21T23:57:14Z"/>
        <d v="2020-03-10T21:26:44Z"/>
        <d v="2020-04-13T05:26:25Z"/>
        <d v="2020-06-28T10:46:57Z"/>
        <d v="2020-04-13T09:32:10Z"/>
        <d v="2020-04-13T09:35:01Z"/>
        <d v="2020-03-22T11:44:56Z"/>
        <d v="2020-04-13T09:38:25Z"/>
        <d v="2020-04-13T06:08:47Z"/>
        <d v="2020-03-28T13:10:07Z"/>
        <d v="2020-04-12T05:36:49Z"/>
        <d v="2020-04-07T07:56:08Z"/>
        <d v="2020-03-07T13:03:27Z"/>
        <d v="2020-04-12T05:52:27Z"/>
        <d v="2020-04-12T05:58:13Z"/>
        <d v="2020-03-27T21:47:06Z"/>
        <d v="2020-04-12T06:05:52Z"/>
        <d v="2020-04-12T06:11:30Z"/>
        <d v="2020-04-12T06:18:09Z"/>
        <d v="2020-04-12T00:55:33Z"/>
        <d v="2020-05-04T11:19:17Z"/>
        <d v="2020-07-08T04:44:48Z"/>
        <d v="2020-07-08T15:50:18Z"/>
        <d v="2020-07-08T05:07:28Z"/>
        <d v="2020-06-24T08:08:01Z"/>
        <d v="2020-06-24T08:08:36Z"/>
        <d v="2020-06-24T08:07:03Z"/>
        <d v="2020-07-08T05:24:10Z"/>
        <d v="2020-06-24T08:09:40Z"/>
        <d v="2020-06-24T08:09:16Z"/>
        <d v="2020-06-24T08:13:23Z"/>
        <d v="2020-06-24T08:15:12Z"/>
        <d v="2020-06-24T08:14:16Z"/>
        <d v="2020-06-24T08:14:41Z"/>
        <d v="2020-06-24T08:12:29Z"/>
        <d v="2020-06-24T08:12:59Z"/>
        <d v="2020-06-24T08:11:33Z"/>
        <d v="2020-06-24T08:11:09Z"/>
        <d v="2020-06-24T08:10:36Z"/>
        <d v="2020-06-24T08:12:01Z"/>
        <d v="2020-06-24T08:13:49Z"/>
        <d v="2020-07-08T05:38:35Z"/>
        <d v="2020-06-24T08:16:34Z"/>
        <d v="2020-06-24T08:16:04Z"/>
        <d v="2020-06-24T08:15:36Z"/>
        <d v="2020-06-24T08:17:30Z"/>
        <d v="2020-06-24T08:17:58Z"/>
        <d v="2020-06-24T08:17:04Z"/>
        <d v="2020-06-24T08:18:27Z"/>
        <d v="2020-06-24T08:18:53Z"/>
        <d v="2020-06-24T08:19:23Z"/>
        <d v="2020-06-24T08:19:51Z"/>
        <d v="2020-06-24T08:20:19Z"/>
        <d v="2020-06-24T08:20:45Z"/>
        <d v="2020-06-24T08:21:12Z"/>
        <d v="2020-06-24T08:22:08Z"/>
        <d v="2020-06-24T08:21:38Z"/>
        <d v="2020-06-24T08:23:00Z"/>
        <d v="2020-06-24T08:22:32Z"/>
        <d v="2020-06-24T08:23:27Z"/>
        <d v="2020-06-24T08:23:54Z"/>
        <d v="2020-06-24T08:24:19Z"/>
        <d v="2020-06-24T08:25:17Z"/>
        <d v="2020-04-07T18:08:37Z"/>
        <d v="2020-04-07T18:01:56Z"/>
        <d v="2020-06-24T08:24:48Z"/>
        <d v="2020-03-07T11:43:46Z"/>
        <d v="2020-07-08T05:51:11Z"/>
        <d v="2020-07-08T05:43:34Z"/>
        <d v="2020-04-10T13:04:53Z"/>
        <d v="2020-07-11T07:10:44Z"/>
        <d v="2020-07-17T03:22:40Z"/>
        <d v="2020-07-11T08:26:52Z"/>
        <d v="2020-03-08T12:31:19Z"/>
        <d v="2020-03-08T12:41:52Z"/>
        <d v="2020-07-11T08:50:46Z"/>
        <d v="2020-07-11T08:59:25Z"/>
        <d v="2020-03-15T21:24:00Z"/>
        <d v="2020-07-12T04:54:19Z"/>
        <d v="2020-07-12T05:13:25Z"/>
        <d v="2020-07-12T05:20:10Z"/>
        <d v="2020-07-12T05:33:33Z"/>
        <d v="2020-07-12T05:37:27Z"/>
        <d v="2020-07-12T05:46:29Z"/>
        <d v="2020-07-12T05:53:48Z"/>
        <d v="2020-07-12T06:27:51Z"/>
        <d v="2020-07-12T06:36:48Z"/>
        <d v="2020-07-12T07:00:43Z"/>
        <d v="2020-07-12T07:05:50Z"/>
        <d v="2020-07-12T07:11:44Z"/>
        <d v="2020-04-13T22:56:45Z"/>
        <d v="2020-03-24T19:56:01Z"/>
        <d v="2020-07-12T07:27:30Z"/>
        <d v="2020-07-12T07:33:07Z"/>
        <d v="2020-07-15T00:14:23Z"/>
        <d v="2020-07-15T07:53:39Z"/>
        <d v="2020-07-15T06:19:29Z"/>
        <d v="2020-03-28T13:23:57Z"/>
        <d v="2020-07-15T06:50:22Z"/>
        <d v="2020-03-29T14:55:00Z"/>
        <d v="2020-07-15T07:02:43Z"/>
        <d v="2020-03-28T13:08:44Z"/>
        <d v="2020-07-15T07:08:17Z"/>
        <d v="2020-07-15T08:09:45Z"/>
        <d v="2020-07-17T03:08:53Z"/>
        <d v="2020-06-19T08:45:46Z"/>
        <d v="2020-07-17T04:07:53Z"/>
        <d v="2020-03-28T13:02:49Z"/>
        <d v="2020-03-28T13:01:30Z"/>
        <d v="2020-06-23T04:50:28Z"/>
        <d v="2020-06-23T04:47:14Z"/>
        <d v="2020-06-23T04:44:30Z"/>
        <d v="2020-06-23T04:53:49Z"/>
        <d v="2020-06-23T04:57:20Z"/>
        <d v="2020-03-06T21:02:14Z"/>
        <d v="2020-06-23T05:02:53Z"/>
        <d v="2020-08-21T02:56:51Z"/>
        <d v="2020-06-23T05:08:49Z"/>
        <d v="2020-06-23T05:11:56Z"/>
        <d v="2020-03-07T11:40:59Z"/>
        <d v="2020-08-20T05:27:46Z"/>
        <d v="2020-06-23T05:18:04Z"/>
        <d v="2020-08-20T06:15:40Z"/>
        <d v="2020-06-23T05:23:55Z"/>
        <d v="2020-06-23T05:36:07Z"/>
        <d v="2020-06-23T05:40:03Z"/>
        <d v="2020-06-23T05:53:04Z"/>
        <d v="2020-03-07T14:36:06Z"/>
        <d v="2020-06-23T05:56:40Z"/>
        <d v="2020-06-23T05:46:52Z"/>
        <d v="2020-06-23T05:43:08Z"/>
        <d v="2020-08-21T02:59:20Z"/>
        <d v="2020-08-21T00:53:31Z"/>
        <d v="2020-08-21T00:48:53Z"/>
        <d v="2020-08-21T00:56:54Z"/>
        <d v="2020-03-07T15:29:14Z"/>
        <d v="2020-06-23T08:07:59Z"/>
        <d v="2020-06-23T08:05:19Z"/>
        <d v="2020-06-23T06:17:50Z"/>
        <d v="2020-06-23T07:59:54Z"/>
        <d v="2020-06-23T05:59:33Z"/>
        <d v="2020-06-23T08:14:41Z"/>
        <d v="2020-06-23T08:17:00Z"/>
        <d v="2020-06-23T08:21:22Z"/>
        <d v="2020-06-23T08:38:26Z"/>
        <d v="2020-06-23T08:29:26Z"/>
        <d v="2020-06-23T08:32:37Z"/>
        <d v="2020-08-21T04:39:03Z"/>
        <d v="2020-08-21T04:46:01Z"/>
        <d v="2020-06-23T08:48:48Z"/>
        <d v="2020-06-23T08:52:01Z"/>
        <d v="2020-08-21T04:49:03Z"/>
        <d v="2020-04-04T08:52:17Z"/>
        <d v="2020-06-23T08:56:27Z"/>
        <d v="2020-08-21T04:54:09Z"/>
        <d v="2020-03-28T13:21:28Z"/>
        <d v="2020-06-23T09:03:17Z"/>
        <d v="2020-08-21T05:52:36Z"/>
        <d v="2020-08-21T06:04:24Z"/>
        <d v="2020-06-23T09:17:33Z"/>
        <d v="2020-08-21T06:36:14Z"/>
        <d v="2020-06-23T09:20:40Z"/>
        <d v="2020-08-21T06:54:44Z"/>
        <d v="2020-08-21T07:02:46Z"/>
        <d v="2020-06-23T22:33:42Z"/>
        <d v="2020-03-22T12:09:33Z"/>
        <d v="2020-03-22T12:28:24Z"/>
        <d v="2020-06-24T08:50:43Z"/>
        <d v="2020-06-23T22:55:34Z"/>
        <d v="2020-08-28T06:18:52Z"/>
        <d v="2020-06-23T22:59:02Z"/>
        <d v="2020-03-25T18:15:13Z"/>
        <d v="2020-06-23T23:10:53Z"/>
        <d v="2020-06-23T23:13:34Z"/>
        <d v="2020-03-26T21:04:49Z"/>
        <d v="2020-06-24T01:23:01Z"/>
        <d v="2020-03-27T06:43:17Z"/>
        <d v="2020-06-24T01:27:29Z"/>
        <d v="2020-06-24T01:30:57Z"/>
        <d v="2020-06-24T01:34:08Z"/>
        <d v="2020-06-24T01:37:40Z"/>
        <d v="2020-06-24T01:40:13Z"/>
        <d v="2020-03-28T23:07:24Z"/>
        <d v="2020-06-24T01:47:12Z"/>
        <d v="2020-06-24T09:31:16Z"/>
        <d v="2020-06-24T09:00:16Z"/>
        <d v="2020-06-24T01:58:35Z"/>
        <d v="2020-06-24T02:03:33Z"/>
        <d v="2020-03-29T15:05:26Z"/>
        <d v="2020-06-24T08:58:14Z"/>
        <d v="2020-06-24T09:43:17Z"/>
        <d v="2020-06-24T02:14:09Z"/>
        <d v="2020-08-21T04:30:44Z"/>
        <d v="2020-09-09T10:44:12Z"/>
        <d v="2020-03-28T13:08:11Z"/>
        <d v="2020-06-24T03:24:47Z"/>
        <d v="2020-03-28T13:19:36Z"/>
        <d v="2020-06-24T03:30:49Z"/>
        <d v="2020-06-24T03:27:30Z"/>
        <d v="2020-06-24T03:34:31Z"/>
        <d v="2020-03-28T13:22:36Z"/>
        <d v="2020-03-28T13:22:06Z"/>
        <d v="2020-08-21T00:28:04Z"/>
        <d v="2020-06-24T03:43:40Z"/>
        <d v="2020-03-15T11:45:15Z"/>
        <d v="2020-05-23T12:25:22Z"/>
        <d v="2020-05-24T01:50:51Z"/>
        <d v="2020-03-28T13:07:34Z"/>
        <d v="2020-03-08T13:45:21Z"/>
        <d v="2020-03-07T16:55:20Z"/>
        <d v="2020-05-24T10:37:24Z"/>
        <d v="2020-03-23T18:50:33Z"/>
        <d v="2020-03-23T19:20:10Z"/>
        <d v="2020-03-28T09:12:55Z"/>
        <d v="2020-03-29T12:23:23Z"/>
        <d v="2020-03-06T21:12:54Z"/>
        <d v="2020-05-23T12:20:55Z"/>
        <d v="2020-03-10T21:07:16Z"/>
        <d v="2020-07-17T06:23:41Z"/>
        <d v="2020-07-17T06:41:56Z"/>
        <d v="2020-07-17T06:58:38Z"/>
        <d v="2020-03-07T05:36:55Z"/>
        <d v="2020-07-17T07:04:51Z"/>
        <d v="2020-07-17T07:23:52Z"/>
        <d v="2020-07-21T01:33:43Z"/>
        <d v="2020-03-10T22:42:28Z"/>
        <d v="2020-07-21T01:37:05Z"/>
        <d v="2020-07-22T02:54:08Z"/>
        <d v="2020-07-22T03:00:21Z"/>
        <d v="2020-03-07T16:26:52Z"/>
        <d v="2020-07-22T04:05:54Z"/>
        <d v="2020-07-22T04:19:16Z"/>
        <d v="2020-03-08T12:45:29Z"/>
        <d v="2020-03-14T16:48:06Z"/>
        <d v="2020-03-14T16:53:00Z"/>
        <d v="2020-03-14T17:34:19Z"/>
        <d v="2020-07-22T05:28:45Z"/>
        <d v="2020-03-21T21:13:06Z"/>
        <d v="2020-03-17T20:04:46Z"/>
        <d v="2020-07-22T05:41:09Z"/>
        <d v="2020-03-19T22:19:37Z"/>
        <d v="2020-03-14T18:46:02Z"/>
        <d v="2020-07-22T06:09:03Z"/>
        <d v="2020-04-12T21:25:45Z"/>
        <d v="2020-07-23T05:30:04Z"/>
        <d v="2020-03-26T22:37:44Z"/>
        <d v="2020-07-22T07:45:25Z"/>
        <d v="2020-07-23T05:12:19Z"/>
        <d v="2020-07-23T05:47:49Z"/>
        <d v="2020-07-22T06:33:55Z"/>
        <d v="2020-07-22T07:52:20Z"/>
        <d v="2020-07-23T04:44:40Z"/>
        <d v="2020-07-22T06:23:39Z"/>
        <d v="2020-07-22T06:44:37Z"/>
        <d v="2020-07-23T05:57:47Z"/>
        <d v="2020-07-23T06:51:38Z"/>
        <d v="2020-07-23T06:54:36Z"/>
        <d v="2020-07-23T06:59:28Z"/>
        <d v="2020-07-23T07:08:49Z"/>
        <d v="2020-03-28T22:45:24Z"/>
        <d v="2020-07-26T22:09:41Z"/>
        <d v="2020-07-29T05:56:42Z"/>
        <d v="2020-07-29T06:13:45Z"/>
        <d v="2020-03-28T13:05:52Z"/>
        <d v="2020-03-28T13:12:49Z"/>
        <d v="2020-07-22T05:48:20Z"/>
        <d v="2020-07-29T06:33:49Z"/>
        <d v="2020-03-10T21:44:35Z"/>
        <d v="2020-03-07T17:18:42Z"/>
        <d v="2020-03-28T13:20:17Z"/>
        <d v="2020-03-10T20:59:33Z"/>
        <d v="2020-03-07T11:45:58Z"/>
        <d v="2020-03-07T17:11:21Z"/>
        <d v="2020-03-08T12:40:03Z"/>
        <d v="2020-05-24T09:16:45Z"/>
        <d v="2020-03-16T20:17:58Z"/>
        <d v="2020-03-16T20:28:31Z"/>
        <d v="2020-03-27T06:32:39Z"/>
        <d v="2020-03-28T18:05:18Z"/>
        <d v="2020-03-28T17:53:29Z"/>
        <d v="2020-03-28T18:44:18Z"/>
        <d v="2020-03-29T15:17:44Z"/>
        <d v="2020-03-28T13:09:21Z"/>
        <d v="2020-03-30T21:11:47Z"/>
        <d v="2020-07-05T22:27:29Z"/>
        <d v="2020-07-05T22:17:31Z"/>
        <d v="2020-08-17T00:50:49Z"/>
        <d v="2020-05-23T10:33:45Z"/>
        <d v="2020-03-27T06:36:20Z"/>
        <d v="2020-05-23T10:57:57Z"/>
        <d v="2020-03-28T09:06:36Z"/>
        <d v="2020-06-21T07:01:21Z"/>
        <d v="2020-06-25T08:45:14Z"/>
        <d v="2020-03-07T14:13:31Z"/>
        <d v="2020-06-21T06:43:51Z"/>
        <d v="2020-05-24T10:44:36Z"/>
        <d v="2020-05-24T10:48:04Z"/>
        <d v="2020-06-21T07:09:59Z"/>
        <d v="2020-06-21T07:33:53Z"/>
        <d v="2020-06-21T07:41:09Z"/>
        <d v="2020-03-28T12:51:37Z"/>
        <d v="2020-06-21T07:46:47Z"/>
        <d v="2020-03-28T22:57:02Z"/>
        <d v="2020-06-26T00:46:10Z"/>
        <d v="2020-06-21T07:58:47Z"/>
        <d v="2020-06-21T07:52:59Z"/>
        <d v="2020-06-24T04:46:43Z"/>
        <d v="2020-06-24T04:55:19Z"/>
        <d v="2020-06-24T05:57:03Z"/>
        <d v="2020-04-10T13:40:56Z"/>
        <d v="2020-03-28T13:16:31Z"/>
        <d v="2020-03-28T12:54:35Z"/>
        <d v="2020-04-12T21:31:30Z"/>
        <d v="2020-06-24T06:23:49Z"/>
        <d v="2020-06-24T06:05:47Z"/>
        <d v="2020-06-25T09:25:23Z"/>
        <d v="2020-06-24T06:14:20Z"/>
        <d v="2020-04-06T04:09:47Z"/>
        <d v="2020-03-10T22:49:20Z"/>
        <d v="2020-04-06T04:16:47Z"/>
        <d v="2020-04-06T05:58:52Z"/>
        <d v="2020-04-15T08:08:58Z"/>
        <d v="2020-04-06T06:07:48Z"/>
        <d v="2020-04-06T06:11:51Z"/>
        <d v="2020-04-06T06:38:55Z"/>
        <d v="2020-04-06T07:00:51Z"/>
        <d v="2020-03-15T10:47:22Z"/>
        <d v="2020-04-06T07:08:40Z"/>
        <d v="2020-04-07T06:07:59Z"/>
        <d v="2020-04-06T07:25:18Z"/>
        <d v="2020-04-06T07:33:04Z"/>
        <d v="2020-05-23T10:45:00Z"/>
        <d v="2020-04-06T07:45:35Z"/>
        <d v="2020-04-06T22:37:33Z"/>
        <d v="2020-04-07T02:03:35Z"/>
        <d v="2020-04-07T06:01:46Z"/>
        <d v="2020-04-07T06:14:22Z"/>
        <d v="2020-04-07T06:19:57Z"/>
        <d v="2020-03-27T21:36:30Z"/>
        <d v="2020-03-27T21:51:17Z"/>
        <d v="2020-04-07T06:24:36Z"/>
        <d v="2020-04-07T06:46:41Z"/>
        <d v="2020-03-28T12:49:09Z"/>
        <d v="2020-03-28T13:06:41Z"/>
        <d v="2020-04-07T06:51:10Z"/>
        <d v="2020-04-07T07:20:47Z"/>
        <d v="2020-04-06T07:39:16Z"/>
        <d v="2020-04-07T07:42:51Z"/>
        <d v="2020-04-04T08:51:38Z"/>
        <d v="2020-04-04T05:59:27Z"/>
        <d v="2020-04-04T06:03:40Z"/>
        <d v="2020-04-04T23:06:10Z"/>
        <d v="2020-04-04T06:10:35Z"/>
        <d v="2020-04-04T06:17:06Z"/>
        <d v="2020-04-04T22:57:22Z"/>
        <d v="2020-04-04T22:53:06Z"/>
        <d v="2020-04-04T06:25:45Z"/>
        <d v="2020-04-04T06:27:46Z"/>
        <d v="2020-04-04T22:35:23Z"/>
        <d v="2020-04-04T06:30:21Z"/>
        <d v="2020-04-01T05:59:02Z"/>
        <d v="2020-03-31T04:37:04Z"/>
        <d v="2020-03-31T02:57:11Z"/>
        <d v="2020-03-31T04:00:10Z"/>
        <d v="2020-03-31T02:49:10Z"/>
        <d v="2020-03-31T08:13:36Z"/>
        <d v="2020-03-31T08:34:43Z"/>
        <d v="2020-03-31T02:00:34Z"/>
        <d v="2020-03-31T08:35:18Z"/>
        <d v="2020-03-31T08:33:40Z"/>
        <m/>
      </sharedItems>
    </cacheField>
    <cacheField name="Property Type" numFmtId="0">
      <sharedItems containsBlank="1">
        <s v="Kingdom Hall"/>
        <s v="Vacant Land"/>
        <s v="Assembly Hall"/>
        <s v="Bethel / Branch Property"/>
        <s v="Kingdom hall with 7 apartments"/>
        <s v="Houseboat"/>
        <s v="Apartment"/>
        <s v="House"/>
        <s v="Warehouse"/>
        <s v="Assembly Hall w/ 5 Kingdom Halls"/>
        <s v="Unknown"/>
        <s v="Residential "/>
        <s v="Unknown "/>
        <s v="Home "/>
        <s v="Estate left to Watchtower (Residence)"/>
        <m/>
      </sharedItems>
    </cacheField>
    <cacheField name="Building / Street Number">
      <sharedItems containsDate="1" containsBlank="1" containsMixedTypes="1">
        <n v="95.0"/>
        <n v="1045.0"/>
        <n v="72.0"/>
        <n v="17.0"/>
        <n v="46.0"/>
        <n v="10.0"/>
        <n v="158.0"/>
        <n v="91.0"/>
        <n v="2.0"/>
        <n v="328.0"/>
        <n v="103.0"/>
        <s v="19-21"/>
        <n v="8.0"/>
        <n v="33.0"/>
        <n v="456.0"/>
        <s v="3-7"/>
        <n v="68.0"/>
        <n v="42.0"/>
        <n v="30.0"/>
        <n v="271.0"/>
        <d v="2020-12-14T00:00:00Z"/>
        <n v="211.0"/>
        <m/>
        <n v="53.0"/>
        <n v="62.0"/>
        <n v="64.0"/>
        <n v="22.0"/>
        <n v="192.0"/>
        <s v="69-71"/>
        <n v="40.0"/>
        <n v="13.0"/>
        <s v="44-46"/>
        <s v="5-7"/>
        <n v="24.0"/>
        <n v="48.0"/>
        <n v="779.0"/>
        <n v="1880.0"/>
        <n v="421.0"/>
        <n v="6221.0"/>
        <n v="502.0"/>
        <n v="184.0"/>
        <n v="1518.0"/>
        <n v="6735.0"/>
        <n v="300.0"/>
        <n v="8235.0"/>
        <n v="9.0"/>
        <n v="15.0"/>
        <n v="88.0"/>
        <n v="18.0"/>
        <n v="52.0"/>
        <s v="25 A"/>
        <n v="6.0"/>
        <s v="8 A"/>
        <n v="3.0"/>
        <n v="93.0"/>
        <n v="14.0"/>
        <n v="4.0"/>
        <n v="77.0"/>
        <s v="12 &amp; 14 K"/>
        <n v="44.0"/>
        <n v="20.0"/>
        <n v="690.0"/>
        <n v="94.0"/>
        <n v="198.0"/>
        <n v="126.0"/>
        <n v="32.0"/>
        <n v="1914.0"/>
        <s v="San Pedro"/>
        <s v="1/43"/>
        <s v="1589/26"/>
        <s v="2B"/>
        <n v="74.0"/>
        <s v="592/5"/>
        <s v="3H"/>
        <s v="13A"/>
        <s v="52A"/>
        <s v="26/29"/>
        <s v="12B"/>
        <s v="40A"/>
        <n v="38.0"/>
        <s v="273/8"/>
        <n v="12.0"/>
        <n v="7.0"/>
        <s v="494/495"/>
        <n v="26.0"/>
        <s v="20a"/>
        <s v="7A"/>
        <n v="1.0"/>
        <s v="34A"/>
        <s v="21A"/>
        <s v="14B"/>
        <s v="14A"/>
        <s v="1A"/>
        <n v="182.0"/>
        <s v="PR-857"/>
        <n v="634.0"/>
        <n v="16.0"/>
        <n v="45.0"/>
        <n v="28.0"/>
        <s v="144a"/>
        <s v="Pioneer Place"/>
        <n v="51.0"/>
        <n v="156.0"/>
        <n v="25.0"/>
        <n v="137.0"/>
        <s v=" "/>
        <s v="66a"/>
        <n v="57.0"/>
        <s v="1-2"/>
        <n v="56.0"/>
        <n v="37.0"/>
        <n v="39.0"/>
        <n v="41.0"/>
        <n v="43.0"/>
        <n v="47.0"/>
        <n v="49.0"/>
        <n v="55.0"/>
        <n v="59.0"/>
        <n v="61.0"/>
        <n v="63.0"/>
        <n v="21.0"/>
        <n v="159.0"/>
        <s v="29a"/>
        <s v="59a"/>
        <n v="29.0"/>
        <n v="1311.0"/>
        <s v="1411-1414"/>
        <n v="700.0"/>
        <n v="110.0"/>
        <n v="2822.0"/>
        <n v="4602.0"/>
        <n v="1929.0"/>
        <n v="630.0"/>
        <n v="1367.0"/>
        <n v="402.0"/>
        <n v="3330.0"/>
        <n v="706.0"/>
        <n v="3509.0"/>
        <n v="208.0"/>
        <n v="1000.0"/>
        <n v="718.0"/>
        <n v="9625.0"/>
        <n v="2723.0"/>
        <n v="5601.0"/>
        <n v="10701.0"/>
        <n v="19211.0"/>
        <n v="401.0"/>
        <n v="5521.0"/>
        <n v="14600.0"/>
        <n v="4215.0"/>
        <n v="6933.0"/>
        <n v="100.0"/>
        <n v="4616.0"/>
        <n v="1701.0"/>
        <n v="207.0"/>
        <n v="1631.0"/>
        <n v="5702.0"/>
        <n v="2153.0"/>
        <n v="275.0"/>
        <n v="8370.0"/>
        <n v="825.0"/>
        <n v="16769.0"/>
        <n v="811.0"/>
        <n v="3161.0"/>
        <n v="1100.0"/>
        <n v="2754.0"/>
        <n v="4312.0"/>
        <n v="16450.0"/>
        <n v="2606.0"/>
        <n v="555.0"/>
        <n v="1805.0"/>
        <n v="4355.0"/>
        <n v="625.0"/>
        <n v="494.0"/>
        <n v="232.0"/>
        <n v="5.0"/>
        <n v="1355.0"/>
        <n v="3860.0"/>
        <n v="18505.0"/>
        <n v="4468.0"/>
        <n v="918.0"/>
        <n v="9844.0"/>
        <n v="4444.0"/>
        <n v="276.0"/>
        <n v="971.0"/>
        <n v="9901.0"/>
        <n v="111.0"/>
        <n v="5156.0"/>
        <n v="1700.0"/>
        <n v="605.0"/>
        <n v="3704.0"/>
        <n v="3956.0"/>
        <n v="927.0"/>
        <n v="395.0"/>
        <n v="1301.0"/>
        <n v="909.0"/>
        <n v="2420.0"/>
        <n v="210.0"/>
        <n v="2929.0"/>
        <n v="315.0"/>
        <n v="1145.0"/>
        <n v="950.0"/>
        <s v="18884 N"/>
        <n v="5566.0"/>
        <s v="150 E"/>
        <s v="11533 S"/>
        <n v="935.0"/>
        <n v="1401.0"/>
        <n v="4101.0"/>
        <n v="1515.0"/>
        <n v="906.0"/>
        <n v="809.0"/>
        <n v="117.0"/>
        <n v="3322.0"/>
        <n v="7002.0"/>
        <n v="2600.0"/>
        <n v="615.0"/>
        <n v="1121.0"/>
        <n v="4150.0"/>
        <n v="425.0"/>
        <n v="224.0"/>
        <n v="1020.0"/>
        <n v="500.0"/>
        <n v="6811.0"/>
        <n v="1201.0"/>
        <n v="4190.0"/>
        <n v="420.0"/>
        <n v="601.0"/>
        <n v="109.0"/>
        <n v="922.0"/>
        <n v="3406.0"/>
        <n v="660.0"/>
        <n v="2185.0"/>
        <n v="2101.0"/>
        <n v="5433.0"/>
        <n v="205.0"/>
        <n v="810.0"/>
        <n v="2124.0"/>
        <n v="214.0"/>
        <n v="1310.0"/>
        <n v="1855.0"/>
        <n v="3709.0"/>
        <n v="3536.0"/>
        <n v="2360.0"/>
        <n v="41150.0"/>
        <n v="4251.0"/>
        <n v="2401.0"/>
        <n v="25687.0"/>
        <n v="1001.0"/>
        <n v="310.0"/>
        <n v="136.0"/>
        <n v="805.0"/>
        <n v="1599.0"/>
        <n v="255.0"/>
        <n v="412.0"/>
        <n v="187.0"/>
        <n v="1984.0"/>
        <n v="3627.0"/>
        <n v="1107.0"/>
        <n v="609.0"/>
        <n v="6107.0"/>
        <n v="1928.0"/>
        <n v="10300.0"/>
        <n v="9805.0"/>
        <n v="1400.0"/>
        <n v="7843.0"/>
        <n v="36.0"/>
        <n v="157.0"/>
        <n v="329.0"/>
        <n v="1040.0"/>
        <n v="107.0"/>
        <n v="7085.0"/>
        <n v="115.0"/>
        <n v="6001.0"/>
        <n v="1580.0"/>
        <n v="6436.0"/>
        <n v="4017.0"/>
        <n v="3835.0"/>
        <n v="7033.0"/>
        <n v="23386.0"/>
        <n v="1659.0"/>
        <n v="23247.0"/>
        <n v="6177.0"/>
        <n v="2141.0"/>
        <n v="337.0"/>
        <n v="3231.0"/>
        <s v="Kingdom Hall / 1636"/>
        <n v="7184.0"/>
        <n v="8805.0"/>
        <n v="17950.0"/>
        <n v="17600.0"/>
        <n v="11249.0"/>
        <n v="9300.0"/>
        <n v="20225.0"/>
        <n v="4900.0"/>
        <n v="20201.0"/>
        <n v="6465.0"/>
        <n v="13201.0"/>
        <n v="14100.0"/>
        <n v="5220.0"/>
        <n v="5933.0"/>
        <n v="12601.0"/>
        <n v="10700.0"/>
        <n v="9754.0"/>
        <n v="8972.0"/>
        <n v="26170.0"/>
        <n v="5149.0"/>
        <n v="4506.0"/>
        <n v="8041.0"/>
        <n v="4040.0"/>
        <n v="16175.0"/>
        <n v="13130.0"/>
        <n v="1320.0"/>
        <n v="4453.0"/>
        <n v="2306.0"/>
        <n v="1451.0"/>
        <n v="1636.0"/>
        <n v="6957.0"/>
        <n v="4213.0"/>
        <n v="15800.0"/>
        <n v="4093.0"/>
        <n v="951.0"/>
        <n v="3041.0"/>
        <n v="3530.0"/>
        <n v="4200.0"/>
        <n v="7450.0"/>
        <n v="241.0"/>
        <n v="5290.0"/>
        <n v="3100.0"/>
        <n v="69.0"/>
        <n v="331.0"/>
        <n v="508.0"/>
        <n v="5358.0"/>
        <n v="4400.0"/>
        <n v="338.0"/>
        <n v="611.0"/>
        <n v="1670.0"/>
        <n v="13000.0"/>
        <n v="3086.0"/>
        <n v="2875.0"/>
        <n v="10074.0"/>
        <n v="13258.0"/>
        <n v="36023.0"/>
        <n v="3737.0"/>
        <n v="14392.0"/>
        <n v="317.0"/>
        <n v="14550.0"/>
        <n v="18637.0"/>
        <n v="3706.0"/>
        <n v="16675.0"/>
        <n v="623.0"/>
        <n v="2211.0"/>
        <n v="11750.0"/>
        <s v="N4077 "/>
        <n v="11355.0"/>
        <n v="1480.0"/>
        <n v="13399.0"/>
        <n v="13108.0"/>
        <n v="11829.0"/>
        <n v="15029.0"/>
        <n v="501.0"/>
        <n v="2311.0"/>
        <n v="2618.0"/>
        <n v="1950.0"/>
        <n v="267.0"/>
        <n v="15037.0"/>
        <n v="821.0"/>
        <n v="195.0"/>
        <n v="1303.0"/>
        <n v="926.0"/>
        <n v="32719.0"/>
        <n v="635.0"/>
        <n v="1445.0"/>
        <n v="116.0"/>
        <n v="2237.0"/>
        <n v="160.0"/>
        <n v="416.0"/>
        <n v="23.0"/>
        <n v="50.0"/>
        <n v="212.0"/>
        <n v="121.0"/>
        <n v="8812.0"/>
        <n v="3301.0"/>
        <n v="800.0"/>
        <n v="312.0"/>
        <n v="1800.0"/>
        <n v="106.0"/>
        <n v="418.0"/>
        <n v="2705.0"/>
        <n v="450.0"/>
        <n v="1820.0"/>
        <n v="1666.0"/>
        <s v="8-10"/>
        <n v="97.0"/>
        <n v="119.0"/>
        <n v="122.0"/>
        <n v="128.0"/>
        <n v="161.0"/>
        <n v="165.0"/>
        <n v="169.0"/>
        <n v="183.0"/>
        <s v="Lot 12"/>
        <n v="9024.0"/>
        <n v="173.0"/>
        <n v="177.0"/>
        <n v="67.0"/>
        <n v="360.0"/>
        <n v="89.0"/>
        <n v="85.0"/>
        <n v="108.0"/>
        <n v="98.0"/>
        <n v="34.0"/>
        <n v="175.0"/>
        <n v="81.0"/>
        <n v="90.0"/>
        <n v="200.0"/>
        <n v="76.0"/>
        <n v="80.0"/>
        <n v="86.0"/>
        <n v="105.0"/>
        <n v="1128.0"/>
        <n v="5595.0"/>
        <n v="78.0"/>
        <n v="2240.0"/>
        <n v="1351.0"/>
        <n v="532.0"/>
        <n v="190.0"/>
        <n v="140.0"/>
        <n v="306.0"/>
        <n v="1364.0"/>
        <n v="2802.0"/>
        <n v="5808.0"/>
        <n v="3746.0"/>
        <n v="9047.0"/>
        <n v="843.0"/>
        <n v="8751.0"/>
        <n v="6456.0"/>
        <n v="359.0"/>
        <n v="5442.0"/>
        <n v="2275.0"/>
        <n v="2610.0"/>
        <n v="2913.0"/>
        <n v="1784.0"/>
        <n v="135.0"/>
        <n v="7758.0"/>
        <n v="24650.0"/>
        <n v="342.0"/>
        <n v="7605.0"/>
        <n v="6710.0"/>
        <n v="12353.0"/>
        <n v="365.0"/>
        <n v="896.0"/>
        <n v="1814.0"/>
        <n v="735.0"/>
        <n v="388.0"/>
        <n v="62700.0"/>
        <n v="1406.0"/>
        <n v="440.0"/>
        <n v="1224.0"/>
        <n v="8046.0"/>
        <n v="3158.0"/>
        <n v="710.0"/>
        <n v="1319.0"/>
        <n v="4700.0"/>
        <n v="10509.0"/>
        <n v="11550.0"/>
        <n v="5629.0"/>
        <s v="1518-1520"/>
        <n v="7577.0"/>
        <n v="831.0"/>
        <n v="5902.0"/>
        <n v="3949.0"/>
        <n v="17526.0"/>
        <n v="3645.0"/>
        <n v="27503.0"/>
        <n v="3135.0"/>
        <n v="6087.0"/>
        <n v="8421.0"/>
        <n v="603.0"/>
        <n v="2505.0"/>
        <n v="1084.0"/>
        <n v="5636.0"/>
        <n v="2700.0"/>
        <n v="1443.0"/>
        <n v="1757.0"/>
        <n v="380.0"/>
        <n v="191.0"/>
        <n v="19550.0"/>
        <n v="44715.0"/>
        <n v="533.0"/>
        <n v="6124.0"/>
        <n v="1350.0"/>
        <n v="4371.0"/>
        <n v="534.0"/>
        <n v="1051.0"/>
        <n v="4030.0"/>
        <n v="2340.0"/>
        <n v="916.0"/>
        <n v="4446.0"/>
        <n v="1650.0"/>
        <n v="2177.0"/>
        <n v="7490.0"/>
        <n v="9025.0"/>
        <n v="13323.0"/>
        <n v="35.0"/>
        <n v="1240.0"/>
        <n v="1745.0"/>
        <n v="1305.0"/>
        <n v="4398.0"/>
        <n v="820.0"/>
        <n v="9603.0"/>
        <n v="155.0"/>
        <n v="3761.0"/>
        <n v="1610.0"/>
        <n v="608.0"/>
        <n v="2105.0"/>
        <n v="3924.0"/>
        <n v="13923.0"/>
        <n v="7465.0"/>
        <n v="3445.0"/>
        <n v="890.0"/>
        <n v="1228.0"/>
        <n v="1809.0"/>
        <n v="465.0"/>
        <n v="7041.0"/>
        <n v="10819.0"/>
        <n v="6408.0"/>
        <n v="3555.0"/>
        <n v="1963.0"/>
        <n v="514.0"/>
        <n v="4095.0"/>
        <n v="12615.0"/>
        <n v="13533.0"/>
        <n v="37750.0"/>
        <n v="539.0"/>
        <n v="1113.0"/>
        <n v="704.0"/>
        <n v="181.0"/>
        <n v="1726.0"/>
        <n v="347.0"/>
        <n v="8221.0"/>
        <n v="5822.0"/>
        <s v="240-244"/>
        <n v="1223.0"/>
        <n v="4842.0"/>
        <n v="932.0"/>
        <n v="330.0"/>
        <n v="851.0"/>
        <n v="490.0"/>
        <n v="400.0"/>
        <n v="627.0"/>
        <n v="3411.0"/>
        <n v="620.0"/>
        <n v="621.0"/>
        <n v="987.0"/>
        <n v="469.0"/>
        <n v="2550.0"/>
        <n v="325.0"/>
        <n v="404.0"/>
        <n v="194.0"/>
        <n v="1431.0"/>
        <n v="251.0"/>
        <n v="1237.0"/>
        <s v="2309-2313"/>
        <n v="6719.0"/>
        <n v="1254.0"/>
        <n v="8233.0"/>
        <n v="307.0"/>
        <n v="2314.0"/>
        <n v="2921.0"/>
        <n v="361.0"/>
        <n v="1539.0"/>
        <n v="1462.0"/>
        <n v="7901.0"/>
        <n v="801.0"/>
        <n v="433.0"/>
        <n v="1046.0"/>
        <n v="3450.0"/>
        <n v="521.0"/>
        <n v="247.0"/>
        <n v="3535.0"/>
        <n v="270.0"/>
        <n v="120.0"/>
        <s v="20791 76"/>
        <n v="1230.0"/>
        <n v="2804.0"/>
        <n v="626.0"/>
        <n v="11914.0"/>
        <n v="4934.0"/>
        <n v="23788.0"/>
        <n v="550.0"/>
        <n v="4509.0"/>
        <n v="3003.0"/>
        <n v="1189.0"/>
        <n v="7840.0"/>
        <n v="131.0"/>
        <n v="4305.0"/>
        <n v="823.0"/>
        <n v="44211.0"/>
        <n v="5862.0"/>
        <n v="3626.0"/>
        <n v="144.0"/>
        <n v="7053.0"/>
        <n v="1112.0"/>
        <n v="1339.0"/>
        <n v="2214.0"/>
        <n v="228.0"/>
        <n v="4409.0"/>
        <n v="11912.0"/>
        <n v="4249.0"/>
        <n v="9622.0"/>
        <n v="15704.0"/>
        <n v="345.0"/>
        <n v="6722.0"/>
        <n v="280.0"/>
        <n v="1321.0"/>
        <n v="2521.0"/>
        <n v="1614.0"/>
        <n v="2506.0"/>
        <n v="112.0"/>
        <n v="4668.0"/>
        <n v="1416.0"/>
        <n v="1621.0"/>
        <n v="2565.0"/>
        <n v="1086.0"/>
        <s v="W5696"/>
        <n v="6767.0"/>
        <s v="W20598"/>
        <s v="N120W21580"/>
        <n v="5075.0"/>
        <n v="16350.0"/>
        <n v="3059.0"/>
        <n v="3214.0"/>
        <n v="3215.0"/>
        <s v="N3540"/>
        <s v="N48W14384"/>
        <n v="3879.0"/>
        <n v="23648.0"/>
        <n v="3309.0"/>
        <n v="850.0"/>
        <s v="N4777"/>
        <n v="18571.0"/>
        <n v="2717.0"/>
        <n v="14909.0"/>
        <n v="720.0"/>
        <n v="2005.0"/>
        <n v="1719.0"/>
        <n v="204.0"/>
        <n v="439.0"/>
        <n v="1906.0"/>
        <n v="102.0"/>
        <n v="1108.0"/>
        <n v="118.0"/>
        <n v="65.0"/>
        <n v="216.0"/>
        <n v="3176.0"/>
        <n v="201.0"/>
        <n v="1202.0"/>
        <n v="808.0"/>
        <n v="723.0"/>
        <n v="2200.0"/>
        <n v="2180.0"/>
        <n v="507.0"/>
        <n v="576.0"/>
        <n v="856.0"/>
      </sharedItems>
    </cacheField>
    <cacheField name="Street Name" numFmtId="0">
      <sharedItems containsBlank="1">
        <s v="alejandro suarez"/>
        <s v="Tropero Sosa"/>
        <s v="Pres. Sarmiento"/>
        <s v="Whittle St"/>
        <s v="Berkeley Rd"/>
        <s v="Cooper Close"/>
        <s v="Wallace Street"/>
        <s v="Larmer Street"/>
        <s v="Grassy Road"/>
        <s v="Homestead Road"/>
        <s v="Richardson Rd"/>
        <s v="East St"/>
        <s v="Jumbuck Cres"/>
        <s v="Acacia St"/>
        <s v="Grout St"/>
        <s v="Old Cleveland Rd"/>
        <s v="Lavelle Ct"/>
        <s v="Laughlin St"/>
        <s v="Sattler road "/>
        <s v="Colamba St"/>
        <s v="Shute Harbour Road"/>
        <s v="Tucker Street"/>
        <s v="James St"/>
        <s v="Yorktown Rd"/>
        <s v="Cnr Botany Dr &amp; The Golden Way"/>
        <s v="Woodside Rd"/>
        <s v="Geddes Rd"/>
        <s v="Bowden Dr"/>
        <s v="Charles St"/>
        <s v="Allambie Cres"/>
        <s v="Marine Parade"/>
        <s v="Luckie St"/>
        <s v="Athol Rd"/>
        <s v="Rosanna road"/>
        <s v="Wallington Rd"/>
        <s v="Millard St"/>
        <s v="Chelsea Ct"/>
        <s v="Irwin Rd"/>
        <m/>
        <s v="Dolphin Drive"/>
        <s v="Quakoo St"/>
        <s v="Galloperstraat "/>
        <s v="Franklin Rd"/>
        <s v="Dallas Road"/>
        <s v="9th Ave"/>
        <s v="97th St"/>
        <s v="Cedar St"/>
        <s v="Woodstock Rd."/>
        <s v="Nash Rd"/>
        <s v="Caledonia St"/>
        <s v="1 Ave W"/>
        <s v="Tagua Tagua"/>
        <s v="Calle 112"/>
        <s v="Nygårdevej"/>
        <s v="Kotikankaantie"/>
        <s v="Röntgenstr "/>
        <s v="Behringstr"/>
        <s v="Berliner Stausse"/>
        <s v="Haldenweg"/>
        <s v="Sickingmuhler"/>
        <s v="Hansaallee"/>
        <s v="Wendalinusstr"/>
        <s v="Kannenstieg "/>
        <s v="Bruch"/>
        <s v="Sudenfelder Strasse"/>
        <s v="Kissinger"/>
        <s v="Rodelwiesenstrasse"/>
        <s v="Mittlestr"/>
        <s v="Mozart Str"/>
        <s v="Fichtenweg"/>
        <s v="Hochrain str "/>
        <s v="Romerstrausse"/>
        <s v="Schutzacken str"/>
        <s v="Nordstraße"/>
        <s v="Posener str"/>
        <s v="Lindweg"/>
        <s v="Kifisias"/>
        <s v="Kent Road"/>
        <s v="R761"/>
        <s v="Giltress St"/>
        <s v="Cowper Dr"/>
        <s v="Elletson St"/>
        <s v="Waterhouse Dr"/>
        <s v="Peymeestersdreef"/>
        <s v="Rimu Street"/>
        <s v="Toe Toe Road"/>
        <s v="Barrett Rd"/>
        <s v="Wainuimata Road"/>
        <s v="Mahia Rd"/>
        <s v="Birkelandsveien"/>
        <s v="Vossegata"/>
        <s v="Gaupeveien 24"/>
        <s v="Villa dei Rosario"/>
        <s v="Kazimierza Przerwy-Tetmajera"/>
        <s v="cnr Stanisława Konarskiego / Oświęcimska"/>
        <s v="Ogrodowa"/>
        <s v="Łukowska"/>
        <s v="Wiejska"/>
        <s v="Podwale"/>
        <s v="Parowa"/>
        <s v="generała Józefa Bema"/>
        <s v="cnr Lazurowa / Biala"/>
        <s v="Pośrednik"/>
        <s v="Wola Rychwalska"/>
        <s v="Pawia"/>
        <s v="DW969"/>
        <s v="Kościuszki"/>
        <s v="Lututowska"/>
        <s v="Kostomłoty"/>
        <s v="Nowosolska"/>
        <s v="Krakowska"/>
        <s v="Armii Krajowej"/>
        <s v="Road 50"/>
        <s v="Akacjowa"/>
        <s v="Tadeusza Rejtana"/>
        <s v="Turystyczna"/>
        <s v="Powstańców"/>
        <s v="DW502"/>
        <s v="Luczyna"/>
        <s v="Obrońców Westerplatte"/>
        <s v="Podjazdowa"/>
        <s v="Trzygłowska"/>
        <s v="10 Lutego"/>
        <s v="Lisowice"/>
        <s v="Wzgórze"/>
        <s v="Elektryków, cnr Katowicka"/>
        <s v="Wodzisławska"/>
        <s v="Świętego Maksymiliana Kolbe"/>
        <s v="Warcisława IV"/>
        <s v="Nowe Osiedle"/>
        <s v="cnr Szafirowa / 8 Marca"/>
        <s v="Paderewskiego"/>
        <s v="Policzna"/>
        <s v="Kołłątaja"/>
        <s v="Malinowskiego"/>
        <s v="Barrio Santurce"/>
        <s v="Ave. Catalina"/>
        <s v="Carr (?)"/>
        <s v="Vista Azul"/>
        <s v="Carr. 666 KM 1.6"/>
        <s v="PR-829"/>
        <s v="Camino Los Marquez"/>
        <s v="Barrio- Pinas"/>
        <s v="Anasco"/>
        <s v="Calle H"/>
        <s v="Calle 4"/>
        <s v="Barrio Tierras"/>
        <s v="Calle Del Fuego"/>
        <s v="Calle 681"/>
        <s v="Carr 685"/>
        <s v="Landsdowne Rd"/>
        <s v="Dante Alighieri"/>
        <s v="Catalonia"/>
        <s v="Siriusvagen"/>
        <s v="Ulmenweg"/>
        <s v="Ballybrakes Road"/>
        <s v="Grove road"/>
        <s v="Coombs Road"/>
        <s v="Bakers Lane"/>
        <s v="Featherbed lane"/>
        <s v="Saddleworth road"/>
        <s v="Paddington Road "/>
        <s v="Brading Rd"/>
        <s v="Cedar Terrace road"/>
        <s v="Gladstone Road"/>
        <s v="MAYPOLE LANE"/>
        <s v="Woodburn Road"/>
        <s v="Windmill road"/>
        <s v="The paddock"/>
        <s v="Garden Street"/>
        <s v="Bridge street"/>
        <s v="Back High Street"/>
        <s v="Sand Bank (?)"/>
        <s v="Roman Road"/>
        <s v="Longbridge lane"/>
        <s v="Westbury Leigh"/>
        <s v="Ballybrakes Rd"/>
        <s v="Triangle North"/>
        <s v="Manor Point, Manor Way"/>
        <s v="South Rd"/>
        <s v="Idle Rd"/>
        <s v="Kings Rd"/>
        <s v="Grace Bartlett Gardens"/>
        <s v="Mary Munnion Quarter"/>
        <s v="Templeton Park"/>
        <s v="Tuscan Way"/>
        <s v="High St"/>
        <s v="Nigel Rd"/>
        <s v="Stourbridge Rd"/>
        <s v="Laburnum Grove"/>
        <s v="Taylor St"/>
        <s v="Alexandra Rd"/>
        <s v="Knowles road"/>
        <s v="Apt #1, Buttermere Apartments, Holders Hill Road"/>
        <s v="Apt #1, Ullswater Apartments, Holders Hill Rd"/>
        <s v="Apt #2, Buttermere Appartments, Holders Hill Rd"/>
        <s v="Apt #2, Ullswater Apartments, Holders Hill Rd"/>
        <s v="Apt #3, Buttermere Appartments, Holders Hill Rd"/>
        <s v="Apt #3, Ullswater Apartments, Holders Hill Rd"/>
        <s v="Apt #4, Buttermere Appartments, Holders Hill Rd"/>
        <s v="Apt #4, Ullswater Apartments, Holders Hill Rd"/>
        <s v="Apt #5, Buttermere Appartments, Holders Hill Rd"/>
        <s v="Apt #5, Ullswater Apartments, Holders Hill Rd"/>
        <s v="Apt #6, Buttermere Appartments, Holders Hill Rd"/>
        <s v="Apt #6, Ullswater Apartments, Holders Hill Rd"/>
        <s v="Apt #7, Ullswater Apartments, Holders Hill Rd"/>
        <s v="Apt #8, Ullswater Apartments, Holders Hill Rd"/>
        <s v="Apt #9, Ullswater Apartments, Holders Hill Rd"/>
        <s v="Chenies, The Ridgeway"/>
        <s v="Conference Centre &amp; Open Field, The Ridgeway"/>
        <s v="Coniston Court, 5 Langstone Way"/>
        <s v="Elbury, The Ridgeway"/>
        <s v="Elstree Way"/>
        <s v="Hadleigh, The Ridgeway"/>
        <s v="Harrogate Court"/>
        <s v="IBSA House, The Ridgeway"/>
        <s v="Landfall, The Ridgeway"/>
        <s v="Lexington Court Apartments"/>
        <s v="Richmond Court"/>
        <s v="Ridgetop, The Ridgeway"/>
        <s v="Tadworth Court"/>
        <s v="The Ridgeway"/>
        <s v="Watch Tower House, The Ridgeway"/>
        <s v="Whitby Court"/>
        <s v="Redcliffe Rd"/>
        <s v="Lowood House, Partingdale Lane"/>
        <s v="Bridge St"/>
        <s v="Cemetery Rd"/>
        <s v="Hallfields Ln"/>
        <s v="Station Rd"/>
        <s v="Stonyflat Bank"/>
        <s v="Church St"/>
        <s v="Sleaps Hyde"/>
        <s v="Lickhill Rd"/>
        <s v="Sand Banks Rd"/>
        <s v="Ellerbeck"/>
        <s v="Kiana Ln"/>
        <s v="2nd Ave N"/>
        <s v="Fulton ave"/>
        <s v="Kingdom Hall Ln"/>
        <s v="Fields ave"/>
        <s v="US HWY 80"/>
        <s v="Canyon rd"/>
        <s v="Owen St"/>
        <s v="Highway 95 W."/>
        <s v="W. Pierce St"/>
        <s v="E. Main st"/>
        <s v="Xavier St"/>
        <s v="Johnson St"/>
        <s v="5th Ave SW"/>
        <s v="Nix road"/>
        <s v="Highway 71 N."/>
        <s v="Eastline Rd"/>
        <s v="Cheatham st"/>
        <s v="E. Boulder Dr"/>
        <s v="E. Abbott St"/>
        <s v="E. Clanton"/>
        <s v="W. Palo Verde Ave"/>
        <s v="S. Mckinney Ave"/>
        <s v="Hermosa Dr"/>
        <s v="N. Black Canyon Hwy"/>
        <s v="S. 12th st"/>
        <s v="E Horizon Ln"/>
        <s v="Northview Rd"/>
        <s v="E Rex st"/>
        <s v="E. Miles st"/>
        <s v="Flores st"/>
        <s v="Lake st"/>
        <s v="Pioneer Dr"/>
        <s v="Wendell ave"/>
        <s v="N Helm Ave"/>
        <s v="Berg Street"/>
        <s v="E 5th St"/>
        <s v="Farley Rd"/>
        <s v="Bay Rd"/>
        <s v="Oro Bangor Hwy"/>
        <s v="Sunset Dr"/>
        <s v="Del Mar Ave"/>
        <s v="Rialto St"/>
        <s v="County Rd 306"/>
        <s v="S. Josephine St"/>
        <s v="S Depew St"/>
        <s v="S. Sheridan"/>
        <s v="Los Ranchitos Dr"/>
        <s v="N. Polk Ave"/>
        <s v="Milford Point Rd"/>
        <s v="Slater Rd"/>
        <s v="Herschler Rd"/>
        <s v="Spring Hill Road"/>
        <s v="Pinehurst St"/>
        <s v="Fl-16"/>
        <s v="SW 288th St"/>
        <s v="US Highway 129"/>
        <s v="Winton Ave"/>
        <s v="Skewlee Road"/>
        <s v="Jackson Rd"/>
        <s v="North Shallowford Rd"/>
        <s v="Eatonton Hwy"/>
        <s v="Cove Rd"/>
        <s v="Simpson Rd"/>
        <s v="Walnut St"/>
        <s v="Kalanianaole Hwy"/>
        <s v="Naoma dr SW"/>
        <s v="S. Iowa st"/>
        <s v="N. 3rd st"/>
        <s v="N. pine st"/>
        <s v="7th ave SE"/>
        <s v="S.E Iowa"/>
        <s v="E. 6th st"/>
        <s v="Park ave"/>
        <s v="Hawkeye ave"/>
        <s v="N. 6th ave E"/>
        <s v="Iowa St"/>
        <s v="Argus rd"/>
        <s v="W. 4th st"/>
        <s v="N 5th St"/>
        <s v="S 12th St"/>
        <s v="Center st"/>
        <s v="W Northwest Hwy"/>
        <s v="Lincoln Highway rd"/>
        <s v="124th Place"/>
        <s v="Ashland Ave"/>
        <s v="E. 134th st"/>
        <s v="E. Marquette rd"/>
        <s v="W. 31st Street"/>
        <s v="W. Wolfram st"/>
        <s v="E. Prairie St"/>
        <s v="E. 154th St"/>
        <s v="Moultrie Ave"/>
        <s v="US-52"/>
        <s v="John Deere Pkwy"/>
        <s v="Elm St"/>
        <s v="Oak St"/>
        <s v="Chatham rd"/>
        <s v="Sandhill rd"/>
        <s v="W. North St"/>
        <s v="Linton"/>
        <s v="W Ensley Ave"/>
        <s v="N Oak St"/>
        <s v="East 21st St"/>
        <s v="N Delaware St"/>
        <s v="E 216 S"/>
        <s v="Eastern Ave"/>
        <s v="S. 5th St"/>
        <s v="S. Walnut St"/>
        <s v="Park St"/>
        <s v="Algonquin Pkwy"/>
        <s v="Crest View Dr"/>
        <s v="Park View St"/>
        <s v="Hwy 127 S"/>
        <s v="Rocky Drive"/>
        <s v="Taylor Mill Road"/>
        <s v="Humes Ridge Road"/>
        <s v="College rd"/>
        <s v="Washington St"/>
        <s v="Enterprise Dr"/>
        <s v="S. Laurel St "/>
        <s v="Highway 6"/>
        <s v="General Taylor St"/>
        <s v="St Ferdinand st"/>
        <s v="Lafiton la"/>
        <s v="Highway 42"/>
        <s v="Highway 1146"/>
        <s v="S. Service rd W"/>
        <s v="Highway 371"/>
        <s v="Victory Dr"/>
        <s v="River St"/>
        <s v="Saint Botolph st"/>
        <s v="Bernardston Rd"/>
        <s v="Orleans rd"/>
        <s v="Memorial Dr"/>
        <s v="Furnace st"/>
        <s v="Mohawk Trl"/>
        <s v="Worcester St"/>
        <s v="Stuart st"/>
        <s v="Westfield st"/>
        <s v="Greenmount Ave"/>
        <s v="N. Broadway"/>
        <s v="Governors  ave"/>
        <s v="Seat Pleasant Dr"/>
        <s v="Powers Ln"/>
        <s v="Country Club rd NE"/>
        <s v="Lyon ave"/>
        <s v="Weyburn rd"/>
        <s v="Jersey Rd"/>
        <s v="Ossipee Trl"/>
        <s v="Malcolm Ave"/>
        <s v="Elm Street"/>
        <s v="Linwood Ave"/>
        <s v="East Dr N"/>
        <s v="Goodale Ave E"/>
        <s v="W River Rd NE"/>
        <s v="Rotsel Rd"/>
        <s v="Brutus Rd"/>
        <s v="Chamberlain Rd"/>
        <s v="Hammond Ave SE"/>
        <s v="Cedar Ave"/>
        <s v="E Deckerville Rd"/>
        <s v="Hospital St"/>
        <s v="E- Drive S"/>
        <s v="N Chester Rd"/>
        <s v="Fred W Moore Hwy"/>
        <s v="E Ludington Dr"/>
        <s v="Jonesville rd "/>
        <s v="Boyer rd"/>
        <s v="Hartwick Pines Rd"/>
        <s v="Davison Rd"/>
        <s v="Tireman Ave"/>
        <s v="Charest St"/>
        <s v="Chester Street"/>
        <s v="E 7 Mile Rd"/>
        <s v="E Forest Ave"/>
        <s v="Fenkell St"/>
        <s v="Fernwood St"/>
        <s v="John R St"/>
        <s v="Kercheval St"/>
        <s v="Plymouth Rd"/>
        <s v="Puritan St"/>
        <s v="Roosevelt St"/>
        <s v="16th St"/>
        <s v="E Canfield St"/>
        <s v="E. Lansing Rd"/>
        <s v="Holmes Hwy"/>
        <s v="Leonard Street"/>
        <s v="Bray Rd"/>
        <s v="Fenton Rd"/>
        <s v="Lapeer Rd"/>
        <s v="N Mckinley Rd"/>
        <s v="W 72nd St"/>
        <s v="Robbins Rd"/>
        <s v="Benton"/>
        <s v="36th St SE"/>
        <s v="Fruit Ridge Ave NW"/>
        <s v="Mckee Ave SW"/>
        <s v="Tamarack Ave NW"/>
        <s v="W M 72 Hwy"/>
        <s v="W Carson City Rd "/>
        <s v="Graves  rd"/>
        <s v="N. M-65"/>
        <s v="E. Clarence rd"/>
        <s v="John Daly st"/>
        <s v="S Davis Rd"/>
        <s v="Douglas Ave"/>
        <s v="Nazareth Rd"/>
        <s v="Pyle Dr"/>
        <s v="S French Rd"/>
        <s v="Townline Rd"/>
        <s v="Daley Rd"/>
        <s v="Churchill Rd"/>
        <s v="Alden Nash Ave SE"/>
        <s v="Lincoln Lake Ave NE"/>
        <s v="4th Street"/>
        <s v="Homer rd"/>
        <s v="W Taylor Rd"/>
        <s v="10th street"/>
        <s v="E Lewis Ave"/>
        <s v="N Mount Tom Rd"/>
        <s v="S Raisinville Rd"/>
        <s v="Morenci Rd"/>
        <s v="E Apple Ave"/>
        <s v="Whitehall Rd"/>
        <s v="Lake road"/>
        <s v="N State Rd"/>
        <s v="County Rd 358"/>
        <s v="Britton Rd"/>
        <s v="S M-52"/>
        <s v="N. Water St"/>
        <s v="Nantucket Rd"/>
        <s v="30th Ave"/>
        <s v="Ray St"/>
        <s v="W Oakland Trl"/>
        <s v="Frazho rd"/>
        <s v="Webber St"/>
        <s v="S Outer Dr"/>
        <s v="Fergus rd"/>
        <s v="Mackinac Trl"/>
        <s v="E 3 Mile Road"/>
        <s v="Reeck Rd"/>
        <s v="Indian Lakes Rd NE"/>
        <s v="N Melita Rd"/>
        <s v="Metropolitan Pkwy"/>
        <s v="Broadway Rd"/>
        <s v="Old 27 Hwy N"/>
        <s v="S. 24th st"/>
        <s v="Silver Street"/>
        <s v="S Campbell Rd"/>
        <s v="Eugene St"/>
        <s v="River Rd NW"/>
        <s v="Park Ave NW"/>
        <s v="Douglas Dr. N."/>
        <s v="Kouwe St NW cnr 4th Ave NW"/>
        <s v="Farm Rd 1095"/>
        <s v="Magnolia Pl"/>
        <s v="Baxter Rd"/>
        <s v="Veteran Dr"/>
        <s v="Hwy 178 East"/>
        <s v="Smelter Ave NW"/>
        <s v="Hwy 93"/>
        <s v="Liberty Rd"/>
        <s v="Old Apex Rd"/>
        <s v="McCoy Rd"/>
        <s v="Sherwood Ave"/>
        <s v="Main St"/>
        <s v="Ferry Rd"/>
        <s v="Darmstadt"/>
        <s v="Martin Luther King Dr"/>
        <s v="South St"/>
        <s v="Rocktown Lambertville rd"/>
        <s v="Taylor Ave"/>
        <s v="Jacksonville rd"/>
        <s v="French st"/>
        <s v="Personette Ave"/>
        <s v="2nd St NW"/>
        <s v="57th St NW"/>
        <s v="Canal St"/>
        <s v="S. Guadalupe st"/>
        <s v="W. 30th st"/>
        <s v="Unser Blvd NE"/>
        <s v="W. Bland st"/>
        <s v="Alpine Village rd"/>
        <s v="W. San Mateo rd"/>
        <s v="Schurz Hwy"/>
        <s v="Spokane Street"/>
        <s v="Bayview ave"/>
        <s v="Leland ave"/>
        <s v="Monroe Ave"/>
        <s v="Adams St"/>
        <s v="Bergen st"/>
        <s v="Clark St"/>
        <s v="Columbia Heights"/>
        <s v="Ditmas ave"/>
        <s v="Front St"/>
        <s v="Furman St"/>
        <s v="Hicks St"/>
        <s v="Jay St"/>
        <s v="Joralemon St"/>
        <s v="Livingston St"/>
        <s v="Montague St"/>
        <s v="Orange St"/>
        <s v="Orange St 20"/>
        <s v="Pearl St"/>
        <s v="Prospect St"/>
        <s v="Remsen St"/>
        <s v="Sands St"/>
        <s v="Water St"/>
        <s v="Willow St"/>
        <s v="St John's Place"/>
        <s v="Medford pl"/>
        <s v="Southside Pkwy"/>
        <s v="Owego Rd"/>
        <s v="Beaver rd"/>
        <s v="Shimerville rd"/>
        <s v="Wheeler ave"/>
        <s v="Western Turnpike"/>
        <s v=" State Route 66"/>
        <s v="Hull rd"/>
        <s v="Broadway "/>
        <s v="Smith ave"/>
        <s v="Morris Ave"/>
        <s v="Reynolds Road"/>
        <s v="ST-Hwy 29"/>
        <s v="Mondore Dr"/>
        <s v="S. Fisher road"/>
        <s v="E. John St"/>
        <s v="Crescent St"/>
        <s v="Olean Road"/>
        <s v="Locust St"/>
        <s v="N. Broadway "/>
        <s v="State Route 21"/>
        <s v="Charlotteville Rd"/>
        <s v="14th St"/>
        <s v="Route 812"/>
        <s v="Dugan road"/>
        <s v="State Route 12"/>
        <s v="Culver Road"/>
        <s v="Scottsville Mumford Road"/>
        <s v="Walter Dr"/>
        <s v="Kemble st"/>
        <s v="Maple Road"/>
        <s v="Hinds Road"/>
        <s v="Belmont Ave"/>
        <s v="Academy-Plank st"/>
        <s v="Plank Rd."/>
        <s v="Main st- NY-5"/>
        <s v="Tyrrell St"/>
        <s v="Palmer rd"/>
        <s v="Wooster Ave"/>
        <s v="N Portage Path "/>
        <s v="S Main St"/>
        <s v="Milner St"/>
        <s v="Harold Dr"/>
        <s v="Avon Belden Rd"/>
        <s v="Barnesville Hendrysburg"/>
        <s v="Broadway ave"/>
        <s v="S St Paris St"/>
        <s v="N State Route 133"/>
        <s v="Broadview Rd"/>
        <s v="Carrell Rd"/>
        <s v="Sanderson Ave"/>
        <s v="Sherrick Rd SE"/>
        <s v="Whipple Ave NW"/>
        <s v="County Rd 1"/>
        <s v="Chillicothe Rd"/>
        <s v="Bridgetown Rd"/>
        <s v="John St"/>
        <s v="Forest Rd"/>
        <s v="Linden Ave"/>
        <s v="Robison Rd"/>
        <s v="E. 131st St"/>
        <s v="E. 75th St"/>
        <s v="Madison Ave"/>
        <s v="W. 105th St"/>
        <s v="Dunford Rd"/>
        <s v="E 116th St"/>
        <s v="Ridge Rd"/>
        <s v="Superior Ave"/>
        <s v="W Park Ave"/>
        <s v="Lockbourne Rd"/>
        <s v="Brentnell Ave"/>
        <s v="Burkhardt Rd"/>
        <s v="N Gettysburg Ave"/>
        <s v="Steiner Ave"/>
        <s v="S. Clinton St"/>
        <s v="Hills-Miller Rd"/>
        <s v="E Rebecca St"/>
        <s v="W State Route 51"/>
        <s v="Telegraph rd"/>
        <s v="N. US Highway 23"/>
        <s v="State Route 19"/>
        <s v="Shannon rd"/>
        <s v="Bridgetown road"/>
        <s v="Grove City Rd"/>
        <s v="Ross ave"/>
        <s v="Sugar Grove rd SE"/>
        <s v="Allentown Rd"/>
        <s v="S. Sugar st"/>
        <s v="Crehore St"/>
        <s v="N. Union St"/>
        <s v="Meese rd"/>
        <s v="Nave Rd SE"/>
        <s v="Coon Club Rd"/>
        <s v="S Bellefontaine Rd"/>
        <s v="Springfield Rd"/>
        <s v="Gainor Ave"/>
        <s v="Granville Rd"/>
        <s v="Walker Lake Rd"/>
        <s v="E Main St"/>
        <s v="Oxford Reily Rd"/>
        <s v="Mentor Ave"/>
        <s v="Jefferson St"/>
        <s v="SW Bunker Hill Rd"/>
        <s v="S Saint Clairsville Rd"/>
        <s v="Lovers Ln"/>
        <s v="State Blvd"/>
        <s v="King St "/>
        <s v="Greenwich Rd"/>
        <s v="State Route 61 N"/>
        <s v="Kenton St"/>
        <s v="Oneida St"/>
        <s v="Sherman White Rd"/>
        <s v="Peters Rd"/>
        <s v="E. Manhattan Blvd"/>
        <s v="W Bancroft St"/>
        <s v="Campbell St"/>
        <s v="N Mccord Rd"/>
        <s v="W. Main st"/>
        <s v="State Route 800 SE"/>
        <s v="W. State Hwy 53"/>
        <s v="St Rt 60"/>
        <s v="W. Plum St"/>
        <s v="Tod Ave NW"/>
        <s v="Ewalt Ave NE"/>
        <s v="York Ave NW"/>
        <s v="Sherman White Road"/>
        <s v="Kirtland Road"/>
        <s v="E Dewey Ave"/>
        <s v="N 20th St"/>
        <s v="W Apache St"/>
        <s v="Boundary St"/>
        <s v="E. Admiral Place"/>
        <s v="Ehlen Rd NE"/>
        <s v="Crabtree Dr"/>
        <s v="Division Ave"/>
        <s v="Lamb St"/>
        <s v="Patrol St"/>
        <s v="W Evans Creek Rd"/>
        <s v="Pine St"/>
        <s v="Blue Valley Dr"/>
        <s v="Chestnut St"/>
        <s v="Irishtown Rd"/>
        <s v="Danville Road"/>
        <s v="Wexford Run Road"/>
        <s v="Broad St"/>
        <s v="Mercer Road"/>
        <s v="Morganza Rd"/>
        <s v="Lindia Dr"/>
        <s v="Elsinore Pl"/>
        <s v="Nixon rd"/>
        <s v="Arnold Ave"/>
        <s v="Barren Hill Rd"/>
        <s v="Worth St"/>
        <s v="Foote Ave"/>
        <s v="Sullivan Trl"/>
        <s v="West Main St"/>
        <s v="W. 2nd St"/>
        <s v="River Rd"/>
        <s v="W. State St"/>
        <s v="Applebutter Rd"/>
        <s v="Thomas St"/>
        <s v="Walters Ave"/>
        <s v="Ambridge Ave"/>
        <s v="Mercer Grove City Rd"/>
        <s v="N. Lafayette Ave"/>
        <s v="E 4th St,"/>
        <s v="Federal St"/>
        <s v="N Broad St"/>
        <s v="Ogontz Ave"/>
        <s v="Point Breeze Ave"/>
        <s v="Stenton Ave "/>
        <s v="Tabor Rd"/>
        <s v="W. Allegheny Ave"/>
        <s v="W. Clearfield St"/>
        <s v="W. Hortter  st "/>
        <s v="N. 26th st"/>
        <s v="Brookline Blvd"/>
        <s v="Dollman Rd"/>
        <s v="Pierson Run Road"/>
        <s v="W. Mountain Rd"/>
        <s v="W. 8th St"/>
        <s v="Ekastown Rd"/>
        <s v="Pitney St"/>
        <s v="W. College Ave"/>
        <s v="Schuylkill Ave"/>
        <s v="Green Street"/>
        <s v="Route 512"/>
        <s v="Foster road"/>
        <s v="S. Belvidere Ave "/>
        <s v="Warner Dr"/>
        <s v="Ranch Rd"/>
        <s v="Highway 63"/>
        <s v="Gazelle Ave"/>
        <s v="North West Loop 304"/>
        <s v="W 4th St"/>
        <s v="W Main St"/>
        <s v="7th St"/>
        <s v="E Cruse Rd"/>
        <s v="FM1314"/>
        <s v="E Ashley Rd"/>
        <s v="Hobart St"/>
        <s v="Pleasanton Rd"/>
        <s v="Norton"/>
        <s v="E. 8th Street"/>
        <s v="W Hwy 90"/>
        <s v="Bell Dr"/>
        <s v="Terry Ave"/>
        <s v="John Clayton Memorial Highway"/>
        <s v="Walton Park Ln"/>
        <s v="8th St"/>
        <s v="Whitney Ave NW"/>
        <s v="State Route 530 NE"/>
        <s v="Sunburst Ln"/>
        <s v="Harrison Ave"/>
        <s v="Kennicott Rd"/>
        <s v="W Morris Rd"/>
        <s v="N Enterprise Rd"/>
        <s v="Coal Creek rd"/>
        <s v="S. Jacob Miller rd"/>
        <s v="S. Clark Ave"/>
        <s v="N 56th St"/>
        <s v="S. 128th St"/>
        <s v="SW College St"/>
        <s v="Quail ln"/>
        <s v="E. Empire ave"/>
        <s v="Pratt Ave"/>
        <s v="N. Stevens st"/>
        <s v="E. Sprague ave"/>
        <s v="N. 11th st"/>
        <s v="Yakima Ave"/>
        <s v="Coppei Ave"/>
        <s v="NW Manor Rd"/>
        <s v="Methow St"/>
        <s v="Mapleview Road"/>
        <s v="McKinley Ave"/>
        <s v="W. Mead"/>
        <s v="W. Nob Hill Blvd"/>
        <s v="133rd St"/>
        <s v="Greenleaf rd"/>
        <s v="N. Genesee st"/>
        <s v="State Hwy 49"/>
        <s v="Schmidt Rd"/>
        <s v="State HWY 38"/>
        <s v="McKeeth Dr"/>
        <s v="Freistadt Rd"/>
        <s v="1st street"/>
        <s v="S. 43rd st"/>
        <s v="Keller Ln"/>
        <s v="Medco Ct"/>
        <s v="Mannville Ln"/>
        <s v="W. Arnold st"/>
        <s v="State Rd 58"/>
        <s v="Hampton ave"/>
        <s v="N Port Washington Rd"/>
        <s v="County Hwy Q"/>
        <s v="Kearney Ave"/>
        <s v="Tower dr"/>
        <s v="Faxon"/>
        <s v="State Highway 131"/>
        <s v="45th Street"/>
        <s v="Washington Ave"/>
        <s v="Chicago Ave"/>
        <s v="Johnston Dr"/>
        <s v="Hartley Ave"/>
        <s v="Tallmansville Rd"/>
        <s v="Rear Route 60"/>
        <s v="Wood Dr"/>
        <s v="Flythe Street"/>
        <s v="Willywood Ave"/>
        <s v="Old Athens Rd"/>
        <s v="Grand Central Ave"/>
        <s v="Ole Main Plaza"/>
        <s v="Route 20"/>
        <s v="Weir Ave"/>
        <s v="Edgington ln"/>
        <s v="Hemlock St"/>
        <s v="29th St"/>
        <s v="North st"/>
        <s v="Laramie st"/>
        <s v="Greenway dr"/>
        <s v="W. Teton Blvd"/>
        <s v="E. Clark st"/>
        <s v="N. Ingalls St"/>
        <s v="Road 8"/>
      </sharedItems>
    </cacheField>
    <cacheField name="Municipality / City / Suburb" numFmtId="0">
      <sharedItems containsBlank="1">
        <s v="maipu"/>
        <s v="Maipu'"/>
        <s v="Longchamps, Buenos Aires"/>
        <s v="Hughes"/>
        <s v="Berkeley"/>
        <s v="Lennox Head"/>
        <s v="Macksville"/>
        <s v="Naranderra"/>
        <s v="Norfolk Island"/>
        <s v="Orchard Hills"/>
        <s v="Raymond Terrace"/>
        <s v="Warners Bay"/>
        <s v="Woy Woy"/>
        <s v="Blackwater"/>
        <s v="Caboolture"/>
        <s v="Camp Hill"/>
        <s v="Clontarf"/>
        <s v="Kingston"/>
        <s v="Meridan plains"/>
        <s v="Miles"/>
        <s v="Mount Julian"/>
        <s v="Tara"/>
        <s v="Crafers"/>
        <s v="Craigmore"/>
        <s v="Golden Grove"/>
        <s v="Lobethal"/>
        <s v="Port Pirie"/>
        <s v="Bridgewater"/>
        <s v="Triabunna"/>
        <s v="Ulverstone"/>
        <s v="Hastings"/>
        <s v="Nunawading"/>
        <s v="Springvale South"/>
        <s v="Heidelberg"/>
        <s v="Balga"/>
        <s v="Derby"/>
        <s v="Dianella, Perth"/>
        <s v="Embleton"/>
        <s v="Tyrol, Innsbruck"/>
        <s v="Nassau"/>
        <s v="Koksijde"/>
        <s v="Bioul"/>
        <s v="Edmonton"/>
        <s v="Kamloops"/>
        <s v="Kelowna"/>
        <s v="Keremeos (?)"/>
        <s v="Osoyoos"/>
        <s v="Sicamous"/>
        <s v="Fredericton"/>
        <s v="Courtice, Clarington"/>
        <s v="Niagara Falls"/>
        <s v="Kindersley"/>
        <s v="Peñalolén, Santiago"/>
        <s v="Alvarado, Tolima"/>
        <s v="La Asuncion de Belen, Belén"/>
        <s v="Herlufmagle"/>
        <s v="Oulu"/>
        <s v="Herzogenaurach "/>
        <s v="Marl"/>
        <s v="Dusseldorf"/>
        <s v="Dortmund"/>
        <s v="Singen"/>
        <s v="Bochum"/>
        <s v="Helmstedt"/>
        <s v="Lebach"/>
        <s v="Niedersachsen"/>
        <s v="Meschede"/>
        <s v="Lengerich"/>
        <s v="bad Bruckenau"/>
        <s v="Heubach"/>
        <s v="Kerken"/>
        <s v="Kerpen"/>
        <s v="Muhldorf"/>
        <s v="Recklinghausen"/>
        <s v="Schlangen"/>
        <s v="Schwandorf"/>
        <s v="Stuttgart Sud"/>
        <s v="Vlotho"/>
        <s v="Weit am Rhein"/>
        <s v="Wermelskirchen"/>
        <s v="Wilhelmshaven"/>
        <s v="Wyhlen"/>
        <s v="Marousi"/>
        <s v="Kowloon Tong"/>
        <s v="Rockingham, Newcastle"/>
        <s v="Gela"/>
        <s v="August Town, St Andrew Parish"/>
        <s v="East Kingston"/>
        <s v="St. Andrews"/>
        <s v="Bennekom"/>
        <s v="Maastricht"/>
        <s v="Naenae"/>
        <s v="Mangaweka"/>
        <s v="Whalers Gate, New Plymouth"/>
        <s v="Wainuiomata"/>
        <s v="Wattle Downs, Auckland"/>
        <s v="Lillesand"/>
        <s v="Oslo"/>
        <s v="Ytre Enebakk"/>
        <s v="Puerto Rosario"/>
        <s v="Czechowice-Dziedzice"/>
        <s v="Piekary Śląskie"/>
        <s v="Unislaw"/>
        <s v="Czersk"/>
        <s v="Toszek"/>
        <s v="Góra"/>
        <s v="Konin"/>
        <s v="Ostrów Wielkopolski"/>
        <s v="Brzeszcze"/>
        <s v="Emilianów-Pośrednik"/>
        <s v="Wola Rychwalska"/>
        <s v="Lublin"/>
        <s v="Mizerna"/>
        <s v="Wieluń"/>
        <s v="Złoczew"/>
        <s v="Kostomłoty"/>
        <s v="Rudno"/>
        <s v="Drezdenko"/>
        <s v="Maków Mazowiecki"/>
        <s v="Człekówka"/>
        <s v="Gostynin"/>
        <s v="Piaseczno"/>
        <s v="Nadarzyn"/>
        <s v="Łaziska Górne"/>
        <s v="Rybina"/>
        <s v="Łuczyna"/>
        <s v="Oświęcim"/>
        <s v="Łódź"/>
        <s v="Gryfice"/>
        <s v="Puck"/>
        <s v="Lisowice"/>
        <s v="Sierakowo"/>
        <s v="Jaworzno"/>
        <s v="Jastrzębie-Zdrój"/>
        <s v="Legnica"/>
        <s v="Szczecinek"/>
        <s v="Kętrzyn"/>
        <s v="Trzebiatów"/>
        <s v="Zawiercie"/>
        <s v="Bierdziez"/>
        <s v="Bierdzież"/>
        <s v="Gniezno"/>
        <s v="Grodzisk Wielkopolski"/>
        <s v="San Juan"/>
        <s v="Arecibo"/>
        <s v="Guaybotas"/>
        <s v="Adjuntas"/>
        <s v="Barceloneta, Quebrada"/>
        <s v="Bo. Pinas, Toa Alta"/>
        <s v="Caguas"/>
        <s v="Caimital Bajo, Aguadilla"/>
        <s v="Caimito Alto, San Juan"/>
        <s v="Calabazas, San Sebastian"/>
        <s v="Campo Alegre, Hatillo"/>
        <s v="Candelaria, Toa Baja"/>
        <s v="Canovanillas, Carolina"/>
        <s v="Catano Pueblo, Catano"/>
        <s v="Comerio"/>
        <s v="Corcovada"/>
        <s v="Costa de Oro, Dorado"/>
        <s v="Cuchillas, Moca"/>
        <s v="El Mango, Juncos"/>
        <s v="El Mani, Mayaguez"/>
        <s v="El, Tuque, Ponce"/>
        <s v="Galateo, Toa Alta"/>
        <s v="Golden Valley, Carolina"/>
        <s v="Guamani, Guayama"/>
        <s v="Guaraguao, Bayamon"/>
        <s v="Hato Nuevo, Gurabo"/>
        <s v="Hermanas Davila, Bayamon"/>
        <s v="La Mesa Caguas"/>
        <s v="Las Delicias, Ponce"/>
        <s v="Las Ochenta, Salinas"/>
        <s v="Maricao"/>
        <s v="Maton, Cayey"/>
        <s v="Mora, Isabela"/>
        <s v="Nuevas Salientes Manati"/>
        <s v="Parcelas Vieques, Loiza"/>
        <s v="Pueblo Nuevo, Maricao"/>
        <s v="Puerto Nuevo, San Juan"/>
        <s v="Punta Santiago, Humacao"/>
        <s v="Quebrada, Camuy"/>
        <s v="Quebrada, San Lorenzo"/>
        <s v="San Jose, Quebradillas"/>
        <s v="Santurce, San Juan"/>
        <s v="Sestor Boan, Arecibo"/>
        <s v="Tierras Nuevas, Manati"/>
        <s v="Unibon, Morovis"/>
        <s v="Vista Del Convento, Fajardo"/>
        <s v="Zanja, Camuy"/>
        <m/>
        <s v="Buckingham, Cape Town"/>
        <s v="Barcelona"/>
        <s v="Umea"/>
        <s v="Arboga"/>
        <s v="Tyreso"/>
        <s v="Canton of Bern"/>
        <s v="Ballymoney"/>
        <s v="Glengarnock"/>
        <s v="Windsor"/>
        <s v="Halesowen"/>
        <s v="West Hanningfield"/>
        <s v="Addington"/>
        <s v="West Vale "/>
        <s v="Portsmouth"/>
        <s v="Ryde"/>
        <s v="Seven Oaks"/>
        <s v="Wimbledon"/>
        <s v="BIRMINGHAM "/>
        <s v="Carrickfergus"/>
        <s v="Thame"/>
        <s v="Tenby"/>
        <s v="Newcastle under Lyme"/>
        <s v="Wordsley"/>
        <s v="Gosforth, Newcastle"/>
        <s v="West Midlands"/>
        <s v="Neath"/>
        <s v="Westbury"/>
        <s v="Bagillt, Flintshire"/>
        <s v="Bath"/>
        <s v="Birmingham"/>
        <s v="Bootle, Merseyside"/>
        <s v="Borehamwood, Hertfordshire"/>
        <s v="Bournemouth"/>
        <s v="Bradford, Undercliff"/>
        <s v="Brentwood"/>
        <s v="Chelmsford"/>
        <s v="Connah's Quay"/>
        <s v="Crook"/>
        <s v="Dawlish, South Devon"/>
        <s v="Dedridge Livingston, West Lothian"/>
        <s v="Dudley, West Midlands"/>
        <s v="Halton, Runcorn"/>
        <s v="Heywood"/>
        <s v="Kingston Upon Thames, Surrey"/>
        <s v="Llandudno"/>
        <s v="London"/>
        <s v="Mansfield, Nottinghamshire"/>
        <s v="Mill Hill, London"/>
        <s v="Morpeth"/>
        <s v="Ogmore Vale, Bridgend"/>
        <s v="Peterborough, Cambridgeshire"/>
        <s v="Plymouth"/>
        <s v="Prudhoe, Northumberland"/>
        <s v="Runcorn"/>
        <s v="Stevenage"/>
        <s v="Stourport-on-severn"/>
        <s v="Walsall"/>
        <s v="Wilnecote, Tamworth"/>
        <s v="Kenai"/>
        <s v="Bessemer"/>
        <s v="Dora"/>
        <s v="Gadsden "/>
        <s v="Phenix City"/>
        <s v="Vestavia-Birmingham"/>
        <s v="Ashdown"/>
        <s v="Clinton"/>
        <s v="Crossett"/>
        <s v="El Dorado"/>
        <s v="Fort Smith"/>
        <s v="Fort Smith "/>
        <s v="Gravette"/>
        <s v="Little Rock"/>
        <s v="Lonoke"/>
        <s v="Mountainburg"/>
        <s v="Paris"/>
        <s v="Searcy"/>
        <s v="White Hall"/>
        <s v="Apache Junction"/>
        <s v="Black Canyon City"/>
        <s v="Buckeye"/>
        <s v="Coolidge"/>
        <s v="Globe"/>
        <s v="Holbrook"/>
        <s v="Phoenix"/>
        <s v="Prescott Valley"/>
        <s v="Sedona"/>
        <s v="Tucson"/>
        <s v="Bakersfield"/>
        <s v="Fresno"/>
        <s v="Granite Bay"/>
        <s v="Holtville"/>
        <s v="Los Gatos"/>
        <s v="Menlo Park"/>
        <s v="Oroville"/>
        <s v="Pacific Grove"/>
        <s v="Rosemead"/>
        <s v="San Diego"/>
        <s v="Buena Vista"/>
        <s v="Denver"/>
        <s v="Lakewood"/>
        <s v="Peyton"/>
        <s v="Walsenburg"/>
        <s v="Greenwich"/>
        <s v="Milford"/>
        <s v="New Britain"/>
        <s v="Oakdale"/>
        <s v="Trumbull"/>
        <s v="Bartow"/>
        <s v="Fort Lauderdale"/>
        <s v="Green Cove Springs"/>
        <s v="Homestead"/>
        <s v="Live Oak"/>
        <s v="Pensacola"/>
        <s v="Thonotosassa"/>
        <s v="Cleveland"/>
        <s v="Dunwoody"/>
        <s v="Gray"/>
        <s v="Jasper"/>
        <s v="Jonesboro"/>
        <s v="Montezuma"/>
        <s v="Honolulu"/>
        <s v="Cedar Rapids"/>
        <s v="Charles City"/>
        <s v="Davenport"/>
        <s v="Dyersville"/>
        <s v="Fairfield"/>
        <s v="Garner"/>
        <s v="Guthrie Center"/>
        <s v="Harlan"/>
        <s v="Newton"/>
        <s v="Perry"/>
        <s v="Shenandoah"/>
        <s v="Sioux City"/>
        <s v="Osburn"/>
        <s v="Payette"/>
        <s v="Anna"/>
        <s v="Barrington"/>
        <s v="Bloomington"/>
        <s v="Charleston"/>
        <s v="Chicago"/>
        <s v="Jerseyville"/>
        <s v="Knoxville"/>
        <s v="Marvey"/>
        <s v="Mattoon"/>
        <s v="Mendota"/>
        <s v="Moline"/>
        <s v="Rockford"/>
        <s v="Springfield"/>
        <s v="Watseka"/>
        <s v="Wood River"/>
        <s v="Auburn"/>
        <s v="Columbia City"/>
        <s v="Indianapolis"/>
        <s v="Knox"/>
        <s v="Shelbyville"/>
        <s v="Atwood"/>
        <s v="Eureka"/>
        <s v="Larned"/>
        <s v="Louisville"/>
        <s v="Manchester"/>
        <s v="Olive Hill"/>
        <s v="Owenton"/>
        <s v="Taylor Mill"/>
        <s v="Williamstown"/>
        <s v="Eunice"/>
        <s v="Franklinton"/>
        <s v="Houma"/>
        <s v="Metairie"/>
        <s v="Natchitoches"/>
        <s v="New Orleans"/>
        <s v="Port Allen"/>
        <s v="Prairieville"/>
        <s v="Rosepine"/>
        <s v="Ruston"/>
        <s v="Sarepta"/>
        <s v="Westwego"/>
        <s v="Billerica"/>
        <s v="Boston"/>
        <s v="Greenfield"/>
        <s v="Harwich"/>
        <s v="Leicester "/>
        <s v="Marshfield"/>
        <s v="Shelburne Falls"/>
        <s v="Southbridge"/>
        <s v="West Springfield"/>
        <s v="Baltimore"/>
        <s v="Cambridge"/>
        <s v="Capitol Heights"/>
        <s v="Catonsville"/>
        <s v="Cumberland "/>
        <s v="Laurel"/>
        <s v="Rosedale-Baltimore"/>
        <s v="Salisbury"/>
        <s v="Augusta"/>
        <s v="Limington"/>
        <s v="Sanford "/>
        <s v="Addison"/>
        <s v="Adrian"/>
        <s v="Alma"/>
        <s v="Battle Creek"/>
        <s v="Belmont"/>
        <s v="Bloomfield Hills"/>
        <s v="Brutus"/>
        <s v="Buchanan"/>
        <s v="Buchanan "/>
        <s v="Caledonia"/>
        <s v="Calumet"/>
        <s v="Caro"/>
        <s v="Cassopolis "/>
        <s v="Ceresco"/>
        <s v="Charlotte "/>
        <s v="China"/>
        <s v="Clare"/>
        <s v="Coldwater"/>
        <s v="Coldwater "/>
        <s v="Coloma"/>
        <s v="Crawford County - Grayling "/>
        <s v="Davison"/>
        <s v="Dearborn"/>
        <s v="Detroit"/>
        <s v="Detroit "/>
        <s v="Durand"/>
        <s v="Eaton Rapids"/>
        <s v="Flat Rock "/>
        <s v="Flint"/>
        <s v="Flushung"/>
        <s v="Fremont"/>
        <s v="Grand Haven "/>
        <s v="Grand Ledge"/>
        <s v="Grand Rapids "/>
        <s v="Grayling"/>
        <s v="Grayling "/>
        <s v="Greenville "/>
        <s v="Gregory"/>
        <s v="Hale "/>
        <s v="Harrison"/>
        <s v="Inkster"/>
        <s v="Ironwood"/>
        <s v="Kalamazoo"/>
        <s v="Kingsford"/>
        <s v="Lake Leelanau "/>
        <s v="Lakeview"/>
        <s v="Lapeer"/>
        <s v="Leslie"/>
        <s v="Lowell"/>
        <s v="Manistee"/>
        <s v="Marshall"/>
        <s v="Mears "/>
        <s v="Menominee"/>
        <s v="Milan"/>
        <s v="Mio"/>
        <s v="Monroe"/>
        <s v="Morenci"/>
        <s v="Muskegon"/>
        <s v="Otisville"/>
        <s v="Paw Paw"/>
        <s v="Perry Twp"/>
        <s v="Pinconning"/>
        <s v="Remus"/>
        <s v="Riverview "/>
        <s v="Roscommon"/>
        <s v="Roseville"/>
        <s v="Saginaw"/>
        <s v="Saginaw "/>
        <s v="Saint Charles "/>
        <s v="Saint Ignes"/>
        <s v="Sault Ste Marie"/>
        <s v="Southgate"/>
        <s v="Sparta"/>
        <s v="Sterling"/>
        <s v="Sterling Heights"/>
        <s v="Three Rivers"/>
        <s v="Vanderbilt"/>
        <s v="Vicksburg"/>
        <s v="West Branch"/>
        <s v="Ypsilanti"/>
        <s v="East Grand Forks"/>
        <s v="Faribault"/>
        <s v="Golden Valley"/>
        <s v="Hutchinson"/>
        <s v="Cassville"/>
        <s v="Jefferson City"/>
        <s v="Columbia Falls "/>
        <s v="New Albany"/>
        <s v="Great Falls"/>
        <s v="St Ignatius"/>
        <s v="Archdale"/>
        <s v="Carey"/>
        <s v="High Point"/>
        <s v="Reidsville"/>
        <s v="Tarboro"/>
        <s v="Arroyo Seco"/>
        <s v="Bradley Beach"/>
        <s v="Delaware Township, Flemington"/>
        <s v="Egg Harbor"/>
        <s v="Jersey City"/>
        <s v="Lambertville"/>
        <s v="Mantua"/>
        <s v="Mt Holly"/>
        <s v="New Brunswick"/>
        <s v="Verona"/>
        <s v="Albuquerque"/>
        <s v="Carlsbad"/>
        <s v="Farmington"/>
        <s v="Rio Rancho"/>
        <s v="Roswell"/>
        <s v="Ruidoso"/>
        <s v="Santa Fe"/>
        <s v="Fallon"/>
        <s v="Reno"/>
        <s v="Amityville"/>
        <s v="Bronx"/>
        <s v="Brooklyn"/>
        <s v="Brooklyn, Crown Heights"/>
        <s v="Buffalo"/>
        <s v="Candor"/>
        <s v="Churchville"/>
        <s v="Clarence Center"/>
        <s v="Cortland"/>
        <s v="Duanesburg"/>
        <s v="Elizabethtown"/>
        <s v="Ghent"/>
        <s v="Gouverneur"/>
        <s v="Hamburg"/>
        <s v="Haverstraw"/>
        <s v="Inwood"/>
        <s v="Johnson City"/>
        <s v="Johnstown"/>
        <s v="La Fayette"/>
        <s v="Lackawanna-West Seneca"/>
        <s v="Lindenhurst"/>
        <s v="Long Island City"/>
        <s v="Machias"/>
        <s v="Manhasset"/>
        <s v="Massapequa"/>
        <s v="Naples, Ontario County"/>
        <s v="Newfane"/>
        <s v="Ogdensburg"/>
        <s v="Olean"/>
        <s v="Rochester"/>
        <s v="Scottsville"/>
        <s v="Syracuse"/>
        <s v="Utica "/>
        <s v="Van Buren"/>
        <s v="Watertown"/>
        <s v="West Babylon"/>
        <s v="Westfield"/>
        <s v="Williamsville"/>
        <s v="Wolcott"/>
        <s v="Yonkers"/>
        <s v="Akron"/>
        <s v="Akron "/>
        <s v="Alliance "/>
        <s v="Ashland "/>
        <s v="Avon Lake"/>
        <s v="Barnesville"/>
        <s v="Bedford"/>
        <s v="Bellefontaine "/>
        <s v="Blanchester "/>
        <s v="Broadview Heights"/>
        <s v="Bucyrus"/>
        <s v="Campbell"/>
        <s v="Canton"/>
        <s v="Canton "/>
        <s v="Chesapeake "/>
        <s v="Chesterland"/>
        <s v="Cincinnati"/>
        <s v="Cincinnati "/>
        <s v="Cleveland "/>
        <s v="Columbiana "/>
        <s v="Columbus"/>
        <s v="Columbus "/>
        <s v="Dayton"/>
        <s v="Dayton "/>
        <s v="Defiance "/>
        <s v="Delaware"/>
        <s v="East Palestine "/>
        <s v="Elmore "/>
        <s v="Elyria"/>
        <s v="Fostoria"/>
        <s v="Galion "/>
        <s v="Girard"/>
        <s v="Green Township"/>
        <s v="Grove City "/>
        <s v="Hamilton"/>
        <s v="Lancaster"/>
        <s v="Lima"/>
        <s v="Lorain"/>
        <s v="Loudonville"/>
        <s v="Mansfield "/>
        <s v="Massillon"/>
        <s v="Medina"/>
        <s v="New Carlisle"/>
        <s v="New Springfield "/>
        <s v="Newark"/>
        <s v="Ontario"/>
        <s v="Ottawa "/>
        <s v="Oxford"/>
        <s v="Painesville"/>
        <s v="Port Clinton"/>
        <s v="Port Washington"/>
        <s v="Port Washington "/>
        <s v="Powhatan Point "/>
        <s v="Ravenna"/>
        <s v="Salem"/>
        <s v="Sandusky "/>
        <s v="Seville"/>
        <s v="Shelby"/>
        <s v="Springfield "/>
        <s v="Stow"/>
        <s v="Swanton"/>
        <s v="Tipp City "/>
        <s v="Toledo"/>
        <s v="Toledo "/>
        <s v="Trotwood"/>
        <s v="Uhrichville"/>
        <s v="Upper Sandusky"/>
        <s v="Vermilion "/>
        <s v="Wapakoneta"/>
        <s v="Warren"/>
        <s v="Warren "/>
        <s v="Whitehouse"/>
        <s v="Willoughby"/>
        <s v="Woodlawn-Cincinnati"/>
        <s v="Youngstown "/>
        <s v="Guthrie"/>
        <s v="Lindsay"/>
        <s v="Tulsa"/>
        <s v="Aurora"/>
        <s v="Crabtree"/>
        <s v="Drain"/>
        <s v="Milton-Freewater"/>
        <s v="Molalla"/>
        <s v="Rogue River"/>
        <s v="Silverton"/>
        <s v="Bangor"/>
        <s v="Barto"/>
        <s v="Bethel Park"/>
        <s v="Bloomsburg"/>
        <s v="Bradford"/>
        <s v="Bradfordwoods"/>
        <s v="Bristol"/>
        <s v="Butler"/>
        <s v="Canonsburg"/>
        <s v="Chambersburg"/>
        <s v="Chester"/>
        <s v="Cheswick"/>
        <s v="Clearfiled"/>
        <s v="Conshohocken"/>
        <s v="Corry"/>
        <s v="Duryea"/>
        <s v="Easton"/>
        <s v="Elkland"/>
        <s v="Erie"/>
        <s v="Erwinna, Upper Black Eddy"/>
        <s v="Evans City"/>
        <s v="Hellertown, Lower Saucon"/>
        <s v="Jersey Shore"/>
        <s v="Leet Township"/>
        <s v="Mercer"/>
        <s v="Morrisville"/>
        <s v="Northampton"/>
        <s v="Philadelphia"/>
        <s v="Philadephia"/>
        <s v="Pittsburgh"/>
        <s v="Plum"/>
        <s v="Plymouth "/>
        <s v="Pottstown"/>
        <s v="Saxonburg"/>
        <s v="Sayre"/>
        <s v="State College"/>
        <s v="Tamaqua"/>
        <s v="Tremont"/>
        <s v="Washington Park"/>
        <s v="White Oak"/>
        <s v="York"/>
        <s v="Columbia"/>
        <s v="Sturgis"/>
        <s v="Cumberland"/>
        <s v="Benbrook"/>
        <s v="Brownsville"/>
        <s v="Crockett"/>
        <s v="El Campo"/>
        <s v="Houston"/>
        <s v="Porter"/>
        <s v="San Antonio"/>
        <s v="Texarkana"/>
        <s v="Van Horn"/>
        <s v="Weimar"/>
        <s v="Danville"/>
        <s v="Gloucester"/>
        <s v="Midlothian"/>
        <s v="Richmond"/>
        <s v="Roanoke"/>
        <s v="Arlington-Darrington"/>
        <s v="Cashmere"/>
        <s v="Centralia"/>
        <s v="Chehalis"/>
        <s v="Coupeville"/>
        <s v="Ferndale"/>
        <s v="Longview"/>
        <s v="Port Townsend"/>
        <s v="Republic"/>
        <s v="Seattle"/>
        <s v="Selah"/>
        <s v="Spokane"/>
        <s v="Spokane "/>
        <s v="Spokane Valley"/>
        <s v="Sunnyside"/>
        <s v="Tacoma"/>
        <s v="Waitsburg"/>
        <s v="Wapato"/>
        <s v="Wenatchee"/>
        <s v="Yakima"/>
        <s v="Antigo"/>
        <s v="Chippewa Falls, Hallie"/>
        <s v="Cornell"/>
        <s v="De Pere"/>
        <s v="Delafield"/>
        <s v="Eland"/>
        <s v="Elkhorn "/>
        <s v="Franksville"/>
        <s v="Galesville "/>
        <s v="Germantown"/>
        <s v="Glenwood City"/>
        <s v="Kiel"/>
        <s v="LaCrosse"/>
        <s v="Mauston"/>
        <s v="Menomonee Falls"/>
        <s v="Milwaukee"/>
        <s v="New Auburn"/>
        <s v="Racine"/>
        <s v="Reedsburg"/>
        <s v="Rio"/>
        <s v="Sun Prairie"/>
        <s v="Superior"/>
        <s v="Tomah"/>
        <s v="Two Rivers "/>
        <s v="Union Grove"/>
        <s v="Viroqua"/>
        <s v="Wanitowoc"/>
        <s v="Wausau"/>
        <s v="Beckley"/>
        <s v="Buckhannon"/>
        <s v="Culloden"/>
        <s v="Huntington"/>
        <s v="Kingwood"/>
        <s v="Oak Hill"/>
        <s v="Princeton"/>
        <s v="Ripley"/>
        <s v="St Albans"/>
        <s v="Summerville"/>
        <s v="Webster Springs"/>
        <s v="Weirton"/>
        <s v="Wheeling"/>
        <s v="Cody"/>
        <s v="Cody "/>
        <s v="Douglas "/>
        <s v="Gillette"/>
        <s v="Green River"/>
        <s v="Laramie"/>
        <s v="Powell"/>
      </sharedItems>
    </cacheField>
    <cacheField name="State / Province" numFmtId="0">
      <sharedItems containsBlank="1">
        <s v="mendoza"/>
        <m/>
        <s v="ACT"/>
        <s v="NSW"/>
        <s v="QLD"/>
        <s v="SA"/>
        <s v="TAS"/>
        <s v="VIC"/>
        <s v="Victoria"/>
        <s v="WA"/>
        <s v="New Providence"/>
        <s v="België"/>
        <s v="AB"/>
        <s v="BC"/>
        <s v="New Brunswick"/>
        <s v="ON"/>
        <s v="Ontario"/>
        <s v="SK"/>
        <s v="Heredia"/>
        <s v="Sjælland"/>
        <s v="Bavaria"/>
        <s v="Hamm"/>
        <s v="Hellerhof"/>
        <s v="Hombruch"/>
        <s v="Konstanz"/>
        <s v="Langendreer"/>
        <s v="Niedersachsen"/>
        <s v="North Rhine"/>
        <s v="Oberkassel"/>
        <s v="Saarland"/>
        <s v="Schoningen"/>
        <s v="Schwarzen"/>
        <s v="Steinfurt"/>
        <s v="Kowloon"/>
        <s v="County Wicklow"/>
        <s v="Caltanissetta, Sicily"/>
        <s v="Lower Hutt"/>
        <s v="Rangitikei"/>
        <s v="Taranaki"/>
        <s v="Wellington"/>
        <s v="Bielski, Silesia"/>
        <s v="Brzozowice - Kamień"/>
        <s v="Chelmno-Pomeranian"/>
        <s v="Chojnicki"/>
        <s v="Gliwice Silesia"/>
        <s v="Górowski, Dolnośląskie"/>
        <s v="Greater Poland"/>
        <s v="Jawiszowice, Oswiecim"/>
        <s v="Kalisz, Greater Poland"/>
        <s v="Koniński, Wielkopolskie"/>
        <s v="Kośminek"/>
        <s v="Lesser Poland"/>
        <s v="Lodzkie"/>
        <s v="Lubelskie- Voivodeship"/>
        <s v="Lubuskie"/>
        <s v="Lubusz"/>
        <s v="Maków Mazowiecki"/>
        <s v="Masovia"/>
        <s v="Mazowieckie"/>
        <s v="Mikolow-Silesia"/>
        <s v="Nowodworski-Pomeranian"/>
        <s v="Olesnicki-Dolnoslaskie, Silesia"/>
        <s v="Oświęcimski, Małopolskie"/>
        <s v="Polesie"/>
        <s v="Pomeranian"/>
        <s v="Prochowice, Legnicki"/>
        <s v="Pruszkowski"/>
        <s v="Rawicki"/>
        <s v="Silensia"/>
        <s v="Silesia"/>
        <s v="Tarninów"/>
        <s v="W. Pomeranian"/>
        <s v="Warminsko-Mazurskie"/>
        <s v="West Pomeranian"/>
        <s v="Zawiercie, Śląskie"/>
        <s v="Zwolen- Masovia"/>
        <s v="Zwolen-Masovia"/>
        <s v="Condado Marimar"/>
        <s v="PR"/>
        <s v="Yabucoa"/>
        <s v="CAT"/>
        <s v="Upper Norrland"/>
        <s v="Thun"/>
        <s v=" Northern Ireland"/>
        <s v="Ayrshire"/>
        <s v="Berkshire (?)"/>
        <s v="Birmingham"/>
        <s v="Chelmsford"/>
        <s v="Croydon"/>
        <s v="Halifax"/>
        <s v="Hampshire "/>
        <s v="Isle of Wight"/>
        <s v="Kent"/>
        <s v="London"/>
        <s v="MIDLANDS "/>
        <s v="Northern Ireland"/>
        <s v="Oxfordshire"/>
        <s v="South Wales UK"/>
        <s v="Staffordshire"/>
        <s v="Stourbridge (West Midlands)"/>
        <s v="Tyne &amp; Wear"/>
        <s v="Wallsall"/>
        <s v="West Glamorgan"/>
        <s v="West Midlands"/>
        <s v="Wiltshire"/>
        <s v="AK"/>
        <s v="AL"/>
        <s v="AR"/>
        <s v="AZ"/>
        <s v="CA"/>
        <s v="CO"/>
        <s v="CT"/>
        <s v="FL"/>
        <s v="GA"/>
        <s v="HI"/>
        <s v="IA"/>
        <s v="ID"/>
        <s v="IL"/>
        <s v="IN"/>
        <s v="KS"/>
        <s v="KY"/>
        <s v="LA"/>
        <s v="MA"/>
        <s v="MD"/>
        <s v="ME"/>
        <s v="MI"/>
        <s v="MN"/>
        <s v="MO"/>
        <s v="MT"/>
        <s v="MS"/>
        <s v="NC"/>
        <s v="NM"/>
        <s v="NJ"/>
        <s v="NV"/>
        <s v="NY"/>
        <s v="OH"/>
        <s v="OK"/>
        <s v="OR"/>
        <s v="PA"/>
        <s v="SC"/>
        <s v="SD"/>
        <s v="TN"/>
        <s v="TX"/>
        <s v="VA"/>
        <s v="WI"/>
        <s v="WV"/>
        <s v="WY"/>
      </sharedItems>
    </cacheField>
    <cacheField name="Post Code / Zip Code">
      <sharedItems containsBlank="1" containsMixedTypes="1" containsNumber="1" containsInteger="1">
        <s v="n/a"/>
        <m/>
        <s v="B1854EPB"/>
        <n v="2605.0"/>
        <n v="2506.0"/>
        <n v="2478.0"/>
        <n v="2447.0"/>
        <n v="2700.0"/>
        <n v="2899.0"/>
        <n v="2324.0"/>
        <n v="2282.0"/>
        <n v="2256.0"/>
        <n v="4717.0"/>
        <n v="4152.0"/>
        <n v="4114.0"/>
        <n v="4551.0"/>
        <n v="4415.0"/>
        <n v="4800.0"/>
        <n v="4421.0"/>
        <n v="5125.0"/>
        <n v="5241.0"/>
        <n v="5540.0"/>
        <n v="7030.0"/>
        <n v="7190.0"/>
        <n v="7315.0"/>
        <n v="3195.0"/>
        <n v="3131.0"/>
        <n v="3172.0"/>
        <n v="3084.0"/>
        <n v="6061.0"/>
        <n v="6728.0"/>
        <n v="6062.0"/>
        <n v="8670.0"/>
        <s v="V2B 6G7"/>
        <s v="V1V 1P2"/>
        <s v="V0X 1N3"/>
        <s v="V0H 1V5"/>
        <s v="V0E 2V1"/>
        <s v="E3B2H5"/>
        <s v="L1E 2K8"/>
        <s v="L2G 5A6"/>
        <s v="S0L 1S0"/>
        <n v="4160.0"/>
        <n v="90820.0"/>
        <n v="91074.0"/>
        <n v="45772.0"/>
        <n v="44892.0"/>
        <n v="44225.0"/>
        <n v="38350.0"/>
        <n v="45768.0"/>
        <n v="40549.0"/>
        <n v="66822.0"/>
        <n v="38364.0"/>
        <n v="59872.0"/>
        <n v="49525.0"/>
        <n v="97769.0"/>
        <n v="73540.0"/>
        <n v="47647.0"/>
        <n v="50171.0"/>
        <n v="84453.0"/>
        <n v="45657.0"/>
        <n v="33189.0"/>
        <n v="92421.0"/>
        <n v="70180.0"/>
        <n v="32602.0"/>
        <n v="79576.0"/>
        <n v="42929.0"/>
        <n v="26388.0"/>
        <s v="None"/>
        <n v="93012.0"/>
        <n v="6216.0"/>
        <n v="5011.0"/>
        <n v="4310.0"/>
        <n v="2103.0"/>
        <n v="4790.0"/>
        <s v="0475"/>
        <s v="43-502"/>
        <s v="41-949"/>
        <s v="86-260"/>
        <s v="89-650"/>
        <s v="44-180"/>
        <s v="56-200"/>
        <s v="62-500"/>
        <s v="63-410"/>
        <s v="32-626"/>
        <s v="62-840"/>
        <s v="62-570"/>
        <s v="20-343"/>
        <s v="34-440"/>
        <s v="98-300"/>
        <s v="98-270"/>
        <s v="21-509"/>
        <s v="67-100"/>
        <s v="66-530"/>
        <s v="06-200"/>
        <s v="05-340"/>
        <s v="09-500"/>
        <s v="05-500"/>
        <s v="05-830"/>
        <s v="43-170"/>
        <s v="82-103"/>
        <s v="56-410"/>
        <s v="32-600"/>
        <s v="90-001"/>
        <s v="72-300"/>
        <s v="84-100"/>
        <s v="59-230"/>
        <s v="63-900"/>
        <s v="43-602"/>
        <s v="44-335"/>
        <s v="59-220"/>
        <s v="78-400"/>
        <s v="11-401"/>
        <s v="72-320"/>
        <s v="42-400"/>
        <s v="26-720"/>
        <s v="62-200"/>
        <s v="62-065"/>
        <s v="00612"/>
        <s v="00617"/>
        <s v="00953"/>
        <s v="00685"/>
        <s v="00631"/>
        <s v="00646"/>
        <s v="00777"/>
        <s v="00784"/>
        <s v="00961"/>
        <s v="00728"/>
        <s v="00736"/>
        <s v="00662"/>
        <s v="00745"/>
        <s v="00606"/>
        <s v="00678"/>
        <s v="00674"/>
        <s v="00627"/>
        <n v="7780.0"/>
        <s v="08032"/>
        <n v="3604.0"/>
        <s v="BT53"/>
        <s v="SL4 1JQ"/>
        <s v="B62 8HD"/>
        <s v="CM2 8LE"/>
        <s v="CR0 9AW"/>
        <s v="HX4 8AG"/>
        <s v="PO2 0DU "/>
        <s v="PO33 1QG"/>
        <s v="TN13 3UD"/>
        <s v="SW19"/>
        <s v="BT38 9AB"/>
        <s v="OX9 2DR"/>
        <s v="SA70 8DJ"/>
        <s v="ST5 1BW"/>
        <s v="DY8 5YX"/>
        <s v="NE3 4ET"/>
        <s v="WS3 2HL"/>
        <s v="SA10 9LH"/>
        <s v="B31 4RD"/>
        <s v="BA13 3SQ"/>
        <s v="WD6 1EU"/>
        <s v="BD2 4NH"/>
        <s v="CM2 9FW"/>
        <s v="CM2 9FT"/>
        <s v="CM2 8LF"/>
        <s v="DY1 2DH"/>
        <s v="WA7 5EU"/>
        <s v="OL10 1EF"/>
        <s v="KT2 6SD"/>
        <s v="LL30 2LG"/>
        <s v="NW7 1RP"/>
        <s v="NW7"/>
        <s v="NW7 1GP"/>
        <s v="N11 3GE"/>
        <s v="NW7 1RN"/>
        <s v="HA8"/>
        <s v="N11"/>
        <s v="NW7 1RS"/>
        <s v="NG18 2QN"/>
        <s v="NW7 1NS"/>
        <s v="NE61 1PQ"/>
        <s v="CF32 7HR"/>
        <s v="PE4 7YH"/>
        <s v="PL7 2AU"/>
        <s v="NE42 5EP"/>
        <s v="WA7 1LX"/>
        <s v="SG2 8JU"/>
        <s v="DY13 8SA"/>
        <n v="99611.0"/>
        <n v="35217.0"/>
        <n v="35062.0"/>
        <n v="35903.0"/>
        <n v="36869.0"/>
        <n v="35216.0"/>
        <n v="71822.0"/>
        <n v="72031.0"/>
        <n v="71635.0"/>
        <n v="71730.0"/>
        <n v="72901.0"/>
        <n v="72904.0"/>
        <n v="72736.0"/>
        <n v="72211.0"/>
        <n v="72086.0"/>
        <n v="72946.0"/>
        <n v="72855.0"/>
        <n v="72143.0"/>
        <n v="71602.0"/>
        <n v="85220.0"/>
        <n v="85324.0"/>
        <n v="85326.0"/>
        <n v="85128.0"/>
        <n v="85501.0"/>
        <n v="86025.0"/>
        <n v="85053.0"/>
        <n v="85040.0"/>
        <n v="86314.0"/>
        <n v="86336.0"/>
        <n v="85706.0"/>
        <n v="85719.0"/>
        <n v="85705.0"/>
        <n v="93305.0"/>
        <n v="93306.0"/>
        <n v="93727.0"/>
        <n v="95746.0"/>
        <n v="92250.0"/>
        <n v="95032.0"/>
        <n v="94025.0"/>
        <n v="95966.0"/>
        <n v="93950.0"/>
        <n v="91770.0"/>
        <n v="92107.0"/>
        <n v="80226.0"/>
        <n v="80232.0"/>
        <n v="80831.0"/>
        <n v="81089.0"/>
        <s v="06460"/>
        <s v="06053"/>
        <s v="06370"/>
        <s v="06611"/>
        <n v="32043.0"/>
        <n v="33030.0"/>
        <n v="32060.0"/>
        <n v="32507.0"/>
        <n v="33592.0"/>
        <n v="30338.0"/>
        <n v="31032.0"/>
        <n v="30143.0"/>
        <n v="30238.0"/>
        <n v="31063.0"/>
        <n v="96821.0"/>
        <n v="52404.0"/>
        <n v="50616.0"/>
        <n v="52732.0"/>
        <n v="52806.0"/>
        <n v="52040.0"/>
        <n v="50438.0"/>
        <n v="50115.0"/>
        <n v="51537.0"/>
        <n v="50208.0"/>
        <n v="50220.0"/>
        <n v="51601.0"/>
        <n v="51103.0"/>
        <n v="83849.0"/>
        <n v="83661.0"/>
        <n v="62906.0"/>
        <n v="60010.0"/>
        <n v="61920.0"/>
        <n v="60827.0"/>
        <n v="60636.0"/>
        <n v="60623.0"/>
        <n v="60657.0"/>
        <n v="62052.0"/>
        <n v="61448.0"/>
        <n v="60426.0"/>
        <n v="61938.0"/>
        <n v="61342.0"/>
        <n v="61265.0"/>
        <n v="61102.0"/>
        <n v="61104.0"/>
        <n v="62704.0"/>
        <n v="62702.0"/>
        <n v="60970.0"/>
        <n v="62095.0"/>
        <n v="46725.0"/>
        <n v="46219.0"/>
        <n v="46202.0"/>
        <n v="46534.0"/>
        <n v="46176.0"/>
        <n v="67730.0"/>
        <n v="67045.0"/>
        <n v="67550.0"/>
        <n v="40211.0"/>
        <n v="40962.0"/>
        <n v="41164.0"/>
        <n v="40359.0"/>
        <n v="49095.0"/>
        <n v="41015.0"/>
        <n v="41097.0"/>
        <n v="70535.0"/>
        <n v="70438.0"/>
        <n v="70360.0"/>
        <n v="70003.0"/>
        <n v="71457.0"/>
        <n v="70125.0"/>
        <n v="70126.0"/>
        <n v="70767.0"/>
        <n v="70769.0"/>
        <n v="71459.0"/>
        <n v="71270.0"/>
        <n v="71071.0"/>
        <n v="70094.0"/>
        <s v="01821"/>
        <s v="02115"/>
        <s v="01301"/>
        <s v="02645"/>
        <s v="01524"/>
        <s v="02050"/>
        <s v="01370"/>
        <s v="01550"/>
        <s v="01119"/>
        <s v="01089"/>
        <n v="21218.0"/>
        <n v="21213.0"/>
        <n v="21613.0"/>
        <n v="20743.0"/>
        <n v="21228.0"/>
        <n v="21502.0"/>
        <n v="20723.0"/>
        <n v="21237.0"/>
        <n v="21801.0"/>
        <s v="04330"/>
        <s v="04049"/>
        <s v="04073"/>
        <n v="49220.0"/>
        <n v="49221.0"/>
        <n v="48801.0"/>
        <n v="49014.0"/>
        <n v="49017.0"/>
        <n v="49306.0"/>
        <n v="48302.0"/>
        <n v="49107.0"/>
        <n v="49316.0"/>
        <n v="49913.0"/>
        <n v="48723.0"/>
        <n v="49031.0"/>
        <n v="49033.0"/>
        <n v="48813.0"/>
        <n v="48617.0"/>
        <n v="49036.0"/>
        <n v="49038.0"/>
        <n v="49738.0"/>
        <n v="48423.0"/>
        <n v="48126.0"/>
        <n v="48212.0"/>
        <n v="48224.0"/>
        <n v="48234.0"/>
        <n v="48214.0"/>
        <n v="48223.0"/>
        <n v="48203.0"/>
        <n v="48207.0"/>
        <n v="48227.0"/>
        <n v="48208.0"/>
        <n v="48215.0"/>
        <n v="48238.0"/>
        <n v="48429.0"/>
        <n v="48827.0"/>
        <n v="48134.0"/>
        <n v="48505.0"/>
        <n v="48507.0"/>
        <n v="48503.0"/>
        <n v="48433.0"/>
        <n v="49412.0"/>
        <n v="49417.0"/>
        <n v="48837.0"/>
        <n v="49508.0"/>
        <n v="49544.0"/>
        <n v="49503.0"/>
        <n v="49504.0"/>
        <n v="48838.0"/>
        <n v="48137.0"/>
        <n v="48739.0"/>
        <n v="48625.0"/>
        <n v="48141.0"/>
        <n v="49938.0"/>
        <n v="49004.0"/>
        <n v="49802.0"/>
        <n v="49653.0"/>
        <n v="48850.0"/>
        <n v="48446.0"/>
        <n v="49251.0"/>
        <n v="49331.0"/>
        <n v="49660.0"/>
        <n v="49068.0"/>
        <n v="49436.0"/>
        <n v="49858.0"/>
        <n v="48160.0"/>
        <n v="48647.0"/>
        <n v="48161.0"/>
        <n v="49256.0"/>
        <n v="49442.0"/>
        <n v="49445.0"/>
        <n v="48463.0"/>
        <n v="49079.0"/>
        <n v="48872.0"/>
        <n v="48650.0"/>
        <n v="48170.0"/>
        <n v="49340.0"/>
        <n v="48192.0"/>
        <n v="48653.0"/>
        <n v="48066.0"/>
        <n v="48601.0"/>
        <n v="48655.0"/>
        <n v="49781.0"/>
        <n v="49783.0"/>
        <n v="48195.0"/>
        <n v="49345.0"/>
        <n v="48659.0"/>
        <n v="48312.0"/>
        <n v="49093.0"/>
        <n v="49795.0"/>
        <n v="49097.0"/>
        <n v="48661.0"/>
        <n v="49198.0"/>
        <n v="56721.0"/>
        <n v="55021.0"/>
        <n v="55422.0"/>
        <n v="55350.0"/>
        <n v="65625.0"/>
        <n v="65101.0"/>
        <n v="63011.0"/>
        <n v="59912.0"/>
        <n v="38652.0"/>
        <n v="59404.0"/>
        <n v="59865.0"/>
        <n v="27263.0"/>
        <n v="27320.0"/>
        <n v="27886.0"/>
        <n v="87532.0"/>
        <s v="07720"/>
        <s v="08822"/>
        <s v="08215"/>
        <s v="07305"/>
        <s v="07307"/>
        <s v="08530"/>
        <s v="08051"/>
        <s v="08505"/>
        <s v="08901"/>
        <s v="07044"/>
        <n v="87114.0"/>
        <n v="87105.0"/>
        <n v="88220.0"/>
        <n v="87401.0"/>
        <n v="87124.0"/>
        <n v="88203.0"/>
        <n v="88345.0"/>
        <n v="87505.0"/>
        <n v="89406.0"/>
        <n v="89512.0"/>
        <n v="11701.0"/>
        <n v="10473.0"/>
        <n v="10457.0"/>
        <n v="11201.0"/>
        <n v="11213.0"/>
        <n v="11236.0"/>
        <n v="14216.0"/>
        <n v="14210.0"/>
        <n v="13743.0"/>
        <n v="14428.0"/>
        <n v="14032.0"/>
        <n v="13045.0"/>
        <n v="12075.0"/>
        <n v="13642.0"/>
        <n v="14075.0"/>
        <n v="10927.0"/>
        <n v="11741.0"/>
        <n v="11096.0"/>
        <n v="13790.0"/>
        <n v="12095.0"/>
        <n v="13084.0"/>
        <n v="14218.0"/>
        <n v="11757.0"/>
        <n v="11101.0"/>
        <n v="14101.0"/>
        <n v="11030.0"/>
        <n v="11758.0"/>
        <n v="14512.0"/>
        <n v="14108.0"/>
        <n v="14303.0"/>
        <n v="13669.0"/>
        <n v="14760.0"/>
        <n v="13456.0"/>
        <n v="14622.0"/>
        <n v="15446.0"/>
        <n v="13206.0"/>
        <n v="13501.0"/>
        <n v="13027.0"/>
        <n v="13601.0"/>
        <n v="11704.0"/>
        <n v="14787.0"/>
        <n v="14221.0"/>
        <n v="14590.0"/>
        <n v="10701.0"/>
        <n v="44307.0"/>
        <n v="44303.0"/>
        <n v="44301.0"/>
        <n v="44601.0"/>
        <n v="44805.0"/>
        <n v="43713.0"/>
        <n v="44146.0"/>
        <n v="43311.0"/>
        <n v="45107.0"/>
        <n v="44820.0"/>
        <n v="44405.0"/>
        <n v="44707.0"/>
        <n v="44718.0"/>
        <n v="45619.0"/>
        <n v="44026.0"/>
        <n v="45248.0"/>
        <n v="45255.0"/>
        <n v="45215.0"/>
        <n v="45213.0"/>
        <n v="44147.0"/>
        <n v="44105.0"/>
        <n v="44103.0"/>
        <n v="44107.0"/>
        <n v="44145.0"/>
        <n v="44120.0"/>
        <n v="44129.0"/>
        <n v="44408.0"/>
        <n v="43207.0"/>
        <n v="43224.0"/>
        <n v="45459.0"/>
        <n v="45407.0"/>
        <n v="45408.0"/>
        <n v="43512.0"/>
        <n v="43015.0"/>
        <n v="44413.0"/>
        <n v="43416.0"/>
        <n v="44035.0"/>
        <n v="44830.0"/>
        <n v="44833.0"/>
        <n v="44420.0"/>
        <n v="43123.0"/>
        <n v="45013.0"/>
        <n v="43130.0"/>
        <n v="45807.0"/>
        <n v="45804.0"/>
        <n v="44052.0"/>
        <n v="44842.0"/>
        <n v="44641.0"/>
        <n v="44907.0"/>
        <n v="44646.0"/>
        <n v="44256.0"/>
        <n v="45344.0"/>
        <n v="44443.0"/>
        <n v="43055.0"/>
        <n v="44906.0"/>
        <n v="45875.0"/>
        <n v="45056.0"/>
        <n v="44077.0"/>
        <n v="43452.0"/>
        <n v="43837.0"/>
        <n v="43942.0"/>
        <n v="44266.0"/>
        <n v="44460.0"/>
        <n v="44870.0"/>
        <n v="44273.0"/>
        <n v="44875.0"/>
        <n v="45505.0"/>
        <n v="44224.0"/>
        <n v="43558.0"/>
        <n v="45371.0"/>
        <n v="43611.0"/>
        <n v="43606.0"/>
        <n v="43607.0"/>
        <n v="43615.0"/>
        <n v="45426.0"/>
        <n v="44683.0"/>
        <n v="43351.0"/>
        <n v="44089.0"/>
        <n v="45895.0"/>
        <n v="44485.0"/>
        <n v="44483.0"/>
        <n v="43571.0"/>
        <n v="44094.0"/>
        <n v="44507.0"/>
        <n v="73044.0"/>
        <n v="73052.0"/>
        <n v="73077.0"/>
        <n v="74116.0"/>
        <n v="97435.0"/>
        <n v="97862.0"/>
        <n v="97038.0"/>
        <n v="97537.0"/>
        <n v="97381.0"/>
        <n v="19504.0"/>
        <n v="15102.0"/>
        <n v="17815.0"/>
        <n v="16701.0"/>
        <n v="15015.0"/>
        <n v="16001.0"/>
        <n v="15317.0"/>
        <n v="17202.0"/>
        <n v="19013.0"/>
        <n v="15024.0"/>
        <n v="16830.0"/>
        <n v="19428.0"/>
        <n v="18642.0"/>
        <n v="18040.0"/>
        <n v="16507.0"/>
        <n v="18972.0"/>
        <n v="19526.0"/>
        <n v="18055.0"/>
        <n v="17740.0"/>
        <n v="15904.0"/>
        <n v="15003.0"/>
        <n v="16137.0"/>
        <n v="19067.0"/>
        <n v="18067.0"/>
        <n v="19147.0"/>
        <n v="19132.0"/>
        <n v="19126.0"/>
        <n v="19146.0"/>
        <n v="19150.0"/>
        <n v="19120.0"/>
        <n v="19134.0"/>
        <n v="19119.0"/>
        <n v="19121.0"/>
        <n v="15226.0"/>
        <n v="15235.0"/>
        <n v="15239.0"/>
        <n v="18651.0"/>
        <n v="19464.0"/>
        <n v="16056.0"/>
        <n v="18840.0"/>
        <n v="16801.0"/>
        <n v="18252.0"/>
        <n v="17981.0"/>
        <n v="15137.0"/>
        <n v="17401.0"/>
        <n v="29223.0"/>
        <n v="37724.0"/>
        <n v="75840.0"/>
        <n v="77072.0"/>
        <n v="77016.0"/>
        <n v="77365.0"/>
        <n v="78221.0"/>
        <n v="78237.0"/>
        <n v="75503.0"/>
        <n v="79855.0"/>
        <n v="78962.0"/>
        <n v="24541.0"/>
        <n v="24540.0"/>
        <n v="23061.0"/>
        <n v="23114.0"/>
        <n v="23223.0"/>
        <n v="24012.0"/>
        <n v="98223.0"/>
        <n v="98815.0"/>
        <n v="98532.0"/>
        <n v="98239.0"/>
        <n v="98248.0"/>
        <n v="98632.0"/>
        <n v="98368.0"/>
        <n v="99166.0"/>
        <n v="98103.0"/>
        <n v="98168.0"/>
        <n v="98116.0"/>
        <n v="98942.0"/>
        <n v="99206.0"/>
        <n v="99202.0"/>
        <n v="99218.0"/>
        <n v="99037.0"/>
        <n v="98944.0"/>
        <n v="98408.0"/>
        <n v="99361.0"/>
        <n v="98951.0"/>
        <n v="98801.0"/>
        <n v="98908.0"/>
        <n v="98902.0"/>
        <n v="54409.0"/>
        <n v="54729.0"/>
        <n v="54732.0"/>
        <n v="54115.0"/>
        <n v="53018.0"/>
        <n v="54427.0"/>
        <n v="53121.0"/>
        <n v="53126.0"/>
        <n v="54630.0"/>
        <n v="53022.0"/>
        <n v="54013.0"/>
        <n v="53220.0"/>
        <n v="53042.0"/>
        <n v="54601.0"/>
        <n v="54449.0"/>
        <n v="53948.0"/>
        <n v="53051.0"/>
        <n v="53212.0"/>
        <n v="54757.0"/>
        <n v="53403.0"/>
        <n v="53959.0"/>
        <n v="53960.0"/>
        <n v="53590.0"/>
        <n v="54880.0"/>
        <n v="54660.0"/>
        <n v="54241.0"/>
        <n v="53182.0"/>
        <n v="54665.0"/>
        <n v="54220.0"/>
        <n v="54401.0"/>
        <n v="25801.0"/>
        <n v="26201.0"/>
        <n v="25510.0"/>
        <n v="25701.0"/>
        <n v="26537.0"/>
        <n v="25901.0"/>
        <n v="24740.0"/>
        <n v="25271.0"/>
        <n v="25177.0"/>
        <n v="26651.0"/>
        <n v="26288.0"/>
        <n v="26452.0"/>
        <n v="26003.0"/>
        <n v="82834.0"/>
        <n v="82414.0"/>
        <n v="82633.0"/>
        <n v="82716.0"/>
        <n v="82935.0"/>
        <n v="82072.0"/>
        <n v="82435.0"/>
      </sharedItems>
    </cacheField>
    <cacheField name="Country" numFmtId="0">
      <sharedItems containsBlank="1">
        <s v="Argentina - AR"/>
        <s v="Australia - AU"/>
        <s v="Austria - AT"/>
        <s v="Bahamas - BS"/>
        <s v="Belgium - BE"/>
        <s v="Canada - CA"/>
        <s v="Chile - CL"/>
        <s v="Colombia - CO"/>
        <s v="Costa Rica - CR"/>
        <s v="Denmark - DK"/>
        <s v="Finland - FI"/>
        <s v="Germany - DE"/>
        <s v="Greece - GR"/>
        <s v="Hong Kong, SAR China - HK"/>
        <s v="Ireland - IE"/>
        <s v="Italy - IT"/>
        <s v="Jamaica - JM"/>
        <s v="Netherlands - NL"/>
        <s v="New Zealand - NZ"/>
        <s v="Norway - NO"/>
        <s v="Paraguay - PY"/>
        <s v="Poland - PL"/>
        <s v="Puerto Rico - PR"/>
        <s v="South Africa - ZA"/>
        <s v="Spain - ES"/>
        <s v="Sweden - SE"/>
        <s v="Switzerland - CH"/>
        <s v="United Kingdom - GB"/>
        <s v="United States - US"/>
        <m/>
      </sharedItems>
    </cacheField>
    <cacheField name="Sales Status" numFmtId="0">
      <sharedItems containsBlank="1">
        <s v="For Sale"/>
        <s v="Sold"/>
        <m/>
      </sharedItems>
    </cacheField>
    <cacheField name="Sale / Asking Amount" numFmtId="3">
      <sharedItems containsString="0" containsBlank="1" containsNumber="1">
        <n v="45000.0"/>
        <n v="35000.0"/>
        <n v="95000.0"/>
        <n v="810000.0"/>
        <n v="2600000.0"/>
        <n v="2500000.0"/>
        <n v="380000.0"/>
        <n v="190000.0"/>
        <n v="0.0"/>
        <n v="1000000.0"/>
        <n v="750000.0"/>
        <n v="1100000.0"/>
        <n v="430000.0"/>
        <n v="180000.0"/>
        <n v="1650000.0"/>
        <n v="1500000.0"/>
        <n v="880000.0"/>
        <n v="495000.0"/>
        <n v="575000.0"/>
        <n v="105000.0"/>
        <n v="338000.0"/>
        <n v="936100.0"/>
        <n v="1265000.0"/>
        <n v="1795000.0"/>
        <n v="935000.0"/>
        <n v="275000.0"/>
        <n v="565000.0"/>
        <n v="355000.0"/>
        <n v="550000.0"/>
        <n v="1570000.0"/>
        <n v="1210000.0"/>
        <n v="1468500.0"/>
        <n v="3300000.0"/>
        <n v="675000.0"/>
        <n v="2175000.0"/>
        <n v="980000.0"/>
        <n v="325000.0"/>
        <n v="500000.0"/>
        <n v="1900000.0"/>
        <n v="845000.0"/>
        <n v="2950000.0"/>
        <n v="214900.0"/>
        <n v="499900.0"/>
        <n v="369000.0"/>
        <n v="474900.0"/>
        <n v="898000.0"/>
        <n v="1.399E8"/>
        <n v="1.8E8"/>
        <n v="2.199075E7"/>
        <n v="1.0E7"/>
        <n v="815000.0"/>
        <n v="239000.0"/>
        <n v="460000.0"/>
        <n v="279000.0"/>
        <n v="475000.0"/>
        <n v="250000.0"/>
        <n v="110000.0"/>
        <n v="269000.0"/>
        <n v="1200000.0"/>
        <n v="118000.0"/>
        <n v="130000.0"/>
        <n v="165300.0"/>
        <n v="200000.0"/>
        <n v="349000.0"/>
        <n v="150000.0"/>
        <n v="249000.0"/>
        <n v="320000.0"/>
        <n v="1590000.0"/>
        <n v="159000.0"/>
        <n v="169000.0"/>
        <n v="340000.0"/>
        <n v="5.2E8"/>
        <n v="4500000.0"/>
        <n v="4.5E7"/>
        <n v="335000.0"/>
        <n v="920000.0"/>
        <n v="417000.0"/>
        <n v="1300000.0"/>
        <n v="760000.0"/>
        <n v="1.45E7"/>
        <n v="3500000.0"/>
        <n v="225000.0"/>
        <n v="298000.0"/>
        <n v="390000.0"/>
        <n v="199000.0"/>
        <n v="290000.0"/>
        <n v="170000.0"/>
        <n v="98800.0"/>
        <n v="140000.0"/>
        <n v="160000.0"/>
        <n v="350000.0"/>
        <n v="55000.0"/>
        <n v="283000.0"/>
        <n v="119000.0"/>
        <n v="299000.0"/>
        <n v="610000.0"/>
        <n v="1.341E7"/>
        <n v="70000.0"/>
        <n v="189000.0"/>
        <n v="490000.0"/>
        <n v="360000.0"/>
        <n v="800000.0"/>
        <n v="99000.0"/>
        <n v="212000.0"/>
        <n v="449000.0"/>
        <n v="1995000.0"/>
        <n v="315000.0"/>
        <n v="280000.0"/>
        <n v="99900.0"/>
        <n v="375000.0"/>
        <n v="129000.0"/>
        <n v="319000.0"/>
        <n v="184900.0"/>
        <n v="199900.0"/>
        <n v="195000.0"/>
        <n v="254900.0"/>
        <n v="168000.0"/>
        <n v="240000.0"/>
        <n v="182900.0"/>
        <n v="235000.0"/>
        <n v="169900.0"/>
        <n v="394900.0"/>
        <n v="339000.0"/>
        <n v="79900.0"/>
        <n v="595000.0"/>
        <n v="359000.0"/>
        <n v="155000.0"/>
        <n v="4000000.0"/>
        <n v="2.0E7"/>
        <n v="8.0E7"/>
        <n v="1.32E7"/>
        <n v="149500.0"/>
        <n v="435000.0"/>
        <n v="300000.0"/>
        <n v="400000.0"/>
        <n v="515000.0"/>
        <n v="149950.0"/>
        <n v="194841.0"/>
        <n v="76500.0"/>
        <n v="0.01"/>
        <n v="80000.0"/>
        <n v="100000.0"/>
        <n v="177500.0"/>
        <n v="175000.0"/>
        <n v="120000.0"/>
        <n v="999995.0"/>
        <n v="1450000.0"/>
        <n v="1250000.0"/>
        <n v="1050000.0"/>
        <n v="1350000.0"/>
        <n v="1.25E7"/>
        <n v="4928000.0"/>
        <n v="8000000.0"/>
        <n v="1195000.0"/>
        <n v="5500000.0"/>
        <n v="1.4E7"/>
        <n v="950000.0"/>
        <n v="1800000.0"/>
        <n v="1395000.0"/>
        <n v="2750000.0"/>
        <n v="782340.0"/>
        <n v="87500.0"/>
        <n v="60000.0"/>
        <n v="895000.0"/>
        <n v="179900.0"/>
        <n v="47000.0"/>
        <n v="122500.0"/>
        <n v="105500.0"/>
        <n v="108000.0"/>
        <n v="51500.0"/>
        <n v="30000.0"/>
        <n v="40000.0"/>
        <n v="113500.0"/>
        <n v="61900.0"/>
        <n v="51000.0"/>
        <n v="625000.0"/>
        <n v="465000.0"/>
        <n v="1.175E7"/>
        <n v="765000.0"/>
        <n v="705000.0"/>
        <n v="310000.0"/>
        <n v="230000.0"/>
        <n v="277000.0"/>
        <n v="139000.0"/>
        <n v="1148166.0"/>
        <n v="135000.0"/>
        <n v="395000.0"/>
        <n v="7600000.0"/>
        <n v="199500.0"/>
        <n v="69900.0"/>
        <n v="207500.0"/>
        <n v="148000.0"/>
        <n v="64900.0"/>
        <n v="232000.0"/>
        <n v="224900.0"/>
        <n v="337000.0"/>
        <n v="295000.0"/>
        <n v="1211000.0"/>
        <n v="77500.0"/>
        <n v="75000.0"/>
        <n v="117700.0"/>
        <n v="39000.0"/>
        <n v="73000.0"/>
        <n v="58000.0"/>
        <n v="145000.0"/>
        <n v="131500.0"/>
        <n v="239900.0"/>
        <n v="2700000.0"/>
        <n v="125000.0"/>
        <n v="68000.0"/>
        <n v="51830.0"/>
        <n v="20000.0"/>
        <n v="173859.0"/>
        <n v="50000.0"/>
        <n v="128000.0"/>
        <n v="525000.0"/>
        <n v="115000.0"/>
        <n v="410000.0"/>
        <n v="162300.0"/>
        <n v="108500.0"/>
        <n v="164650.0"/>
        <n v="401000.0"/>
        <n v="2200000.0"/>
        <n v="415000.0"/>
        <n v="170500.0"/>
        <n v="330000.0"/>
        <n v="306350.0"/>
        <n v="165900.0"/>
        <n v="600000.0"/>
        <n v="599900.0"/>
        <n v="1215000.0"/>
        <n v="546800.0"/>
        <n v="285000.0"/>
        <n v="54000.0"/>
        <n v="165000.0"/>
        <n v="459000.0"/>
        <n v="117000.0"/>
        <n v="127587.0"/>
        <n v="149000.0"/>
        <n v="32112.0"/>
        <n v="185000.0"/>
        <n v="27000.0"/>
        <n v="123500.0"/>
        <n v="237900.0"/>
        <n v="164000.0"/>
        <n v="107500.0"/>
        <n v="49000.0"/>
        <n v="126250.0"/>
        <n v="72000.0"/>
        <n v="89500.0"/>
        <n v="209900.0"/>
        <n v="164900.0"/>
        <n v="65000.0"/>
        <n v="78500.0"/>
        <n v="345000.0"/>
        <n v="262000.0"/>
        <n v="163000.0"/>
        <n v="114900.0"/>
        <n v="121000.0"/>
        <n v="93000.0"/>
        <n v="303000.0"/>
        <n v="329900.0"/>
        <n v="540000.0"/>
        <n v="209000.0"/>
        <n v="198000.0"/>
        <n v="620000.0"/>
        <n v="236500.0"/>
        <n v="229000.0"/>
        <n v="136000.0"/>
        <n v="699000.0"/>
        <n v="313000.0"/>
        <n v="312500.0"/>
        <n v="215000.0"/>
        <n v="850000.0"/>
        <n v="265000.0"/>
        <n v="849000.0"/>
        <n v="97000.0"/>
        <n v="478664.0"/>
        <n v="440000.0"/>
        <n v="615000.0"/>
        <n v="6.5E7"/>
        <n v="6.0E7"/>
        <n v="6.4E7"/>
        <n v="2.025E8"/>
        <n v="3.4E8"/>
        <n v="5.8E7"/>
        <n v="8.75E7"/>
        <n v="1.8E7"/>
        <n v="1.05E8"/>
        <n v="4100000.0"/>
        <n v="5.0E7"/>
        <n v="6600000.0"/>
        <n v="9.1113E7"/>
        <n v="3.06E7"/>
        <n v="2.0502E8"/>
        <n v="3.45E8"/>
        <n v="1.86E7"/>
        <n v="8.1E7"/>
        <n v="2825000.0"/>
        <n v="7100000.0"/>
        <n v="5.4E7"/>
        <n v="5.3E7"/>
        <n v="4.6E7"/>
        <n v="2.3E7"/>
        <n v="3250000.0"/>
        <n v="1.35E8"/>
        <n v="3025000.0"/>
        <n v="536000.0"/>
        <n v="825000.0"/>
        <n v="3330000.0"/>
        <n v="2450000.0"/>
        <n v="227000.0"/>
        <n v="855000.0"/>
        <n v="260000.0"/>
        <n v="385000.0"/>
        <n v="393000.0"/>
        <n v="83000.0"/>
        <n v="284000.0"/>
        <n v="104900.0"/>
        <n v="700000.0"/>
        <n v="812500.0"/>
        <n v="202000.0"/>
        <n v="808000.0"/>
        <n v="249900.0"/>
        <n v="85000.0"/>
        <n v="179000.0"/>
        <n v="156000.0"/>
        <n v="529900.0"/>
        <n v="144900.0"/>
        <n v="356500.0"/>
        <n v="46500.0"/>
        <n v="252500.0"/>
        <n v="162103.0"/>
        <n v="450000.0"/>
        <n v="189900.0"/>
        <n v="148400.0"/>
        <n v="399000.0"/>
        <n v="205000.0"/>
        <n v="193000.0"/>
        <n v="89900.0"/>
        <n v="65800.0"/>
        <n v="89250.0"/>
        <n v="219900.0"/>
        <n v="183000.0"/>
        <n v="49900.0"/>
        <n v="227900.0"/>
        <n v="117500.0"/>
        <n v="314000.0"/>
        <n v="98000.0"/>
        <n v="118800.0"/>
        <n v="222500.0"/>
        <n v="319900.0"/>
        <n v="71000.0"/>
        <n v="67500.0"/>
        <n v="409000.0"/>
        <n v="266000.0"/>
        <n v="188800.0"/>
        <n v="479000.0"/>
        <n v="413000.0"/>
        <n v="177000.0"/>
        <n v="115500.0"/>
        <n v="157000.0"/>
        <n v="169500.0"/>
        <n v="2050000.0"/>
        <n v="585000.0"/>
        <n v="225400.0"/>
        <n v="255000.0"/>
        <n v="243000.0"/>
        <n v="32000.0"/>
        <n v="71500.0"/>
        <n v="187000.0"/>
        <n v="399500.0"/>
        <n v="244900.0"/>
        <n v="425000.0"/>
        <n v="220000.0"/>
        <n v="413309.0"/>
        <n v="90000.0"/>
        <n v="289000.0"/>
        <n v="645000.0"/>
        <n v="650000.0"/>
        <n v="305000.0"/>
        <n v="469000.0"/>
        <n v="649000.0"/>
        <n v="545000.0"/>
        <n v="790000.0"/>
        <n v="235739.0"/>
        <n v="33000.0"/>
        <n v="186000.0"/>
        <n v="245000.0"/>
        <n v="269900.0"/>
        <n v="501000.0"/>
        <n v="192800.0"/>
        <n v="479900.0"/>
        <n v="362000.0"/>
        <n v="83872.0"/>
        <n v="260600.0"/>
        <n v="167500.0"/>
        <n v="82500.0"/>
        <n v="129500.0"/>
        <n v="22000.0"/>
        <n v="365000.0"/>
        <n v="338491.0"/>
        <m/>
      </sharedItems>
    </cacheField>
    <cacheField name="Sale Currency" numFmtId="0">
      <sharedItems containsBlank="1">
        <s v="United States dollar - USD"/>
        <s v="Argentine peso - ARS"/>
        <s v="Australian dollar - AUD"/>
        <s v="European euro - EUR"/>
        <s v="Bahamian dollar - BSD"/>
        <s v="Canadian dollar - CAD"/>
        <s v="Chilean peso - CLP"/>
        <s v="Colombian peso - COP"/>
        <s v="Danish krone - DKK"/>
        <s v="Hong Kong dollar - HKD"/>
        <s v="Jamaican dollar - JMD"/>
        <s v="New Zealand dollar - NZD"/>
        <s v="Norwegian krone - NOK"/>
        <s v="Polish zloty - PLN"/>
        <s v="South African rand - ZAR"/>
        <s v="Swedish krona - SEK"/>
        <s v="Swiss franc - CHF"/>
        <s v="UK Pound sterling - GBP"/>
        <m/>
      </sharedItems>
    </cacheField>
    <cacheField name="Date of Sale / Listing" numFmtId="0">
      <sharedItems containsDate="1" containsString="0" containsBlank="1">
        <m/>
        <d v="2019-10-23T00:00:00Z"/>
        <d v="2016-05-17T00:00:00Z"/>
        <d v="2020-05-05T00:00:00Z"/>
        <d v="2019-03-22T00:00:00Z"/>
        <d v="2020-05-19T00:00:00Z"/>
        <d v="2020-05-01T00:00:00Z"/>
        <d v="2017-09-26T00:00:00Z"/>
        <d v="2020-07-01T00:00:00Z"/>
        <d v="2019-04-09T00:00:00Z"/>
        <d v="2011-11-01T00:00:00Z"/>
        <d v="2009-05-01T00:00:00Z"/>
        <d v="2019-09-25T00:00:00Z"/>
        <d v="2016-05-09T00:00:00Z"/>
        <d v="2015-10-16T00:00:00Z"/>
        <d v="2017-07-01T00:00:00Z"/>
        <d v="2016-08-25T00:00:00Z"/>
        <d v="2018-10-15T00:00:00Z"/>
        <d v="2020-07-31T00:00:00Z"/>
        <d v="2015-08-11T00:00:00Z"/>
        <d v="2016-10-11T00:00:00Z"/>
        <d v="2015-10-30T00:00:00Z"/>
        <d v="2020-04-15T00:00:00Z"/>
        <d v="2017-12-01T00:00:00Z"/>
        <d v="2019-06-01T00:00:00Z"/>
        <d v="2019-01-01T00:00:00Z"/>
        <d v="2012-09-03T00:00:00Z"/>
        <d v="2019-04-01T00:00:00Z"/>
        <d v="2007-08-01T00:00:00Z"/>
        <d v="2018-03-01T00:00:00Z"/>
        <d v="2017-12-22T00:00:00Z"/>
        <d v="2019-11-25T00:00:00Z"/>
        <d v="2020-03-01T00:00:00Z"/>
        <d v="2020-02-21T00:00:00Z"/>
        <d v="2018-06-28T00:00:00Z"/>
        <d v="2020-01-10T00:00:00Z"/>
        <d v="2020-03-27T00:00:00Z"/>
        <d v="2020-01-01T00:00:00Z"/>
        <d v="2020-07-20T00:00:00Z"/>
        <d v="2017-11-25T00:00:00Z"/>
        <d v="2019-07-15T00:00:00Z"/>
        <d v="2019-12-17T00:00:00Z"/>
        <d v="2020-03-04T00:00:00Z"/>
        <d v="2015-09-30T00:00:00Z"/>
        <d v="2019-02-27T00:00:00Z"/>
        <d v="2020-02-25T00:00:00Z"/>
        <d v="2020-04-12T00:00:00Z"/>
        <d v="2019-07-24T00:00:00Z"/>
        <d v="2015-09-01T00:00:00Z"/>
        <d v="2019-09-23T00:00:00Z"/>
        <d v="2017-01-10T00:00:00Z"/>
        <d v="2015-12-01T00:00:00Z"/>
        <d v="2011-10-30T00:00:00Z"/>
        <d v="2019-06-26T00:00:00Z"/>
        <d v="2019-11-06T00:00:00Z"/>
        <d v="2017-05-01T00:00:00Z"/>
        <d v="2018-05-01T00:00:00Z"/>
        <d v="2019-06-22T00:00:00Z"/>
        <d v="2013-08-01T00:00:00Z"/>
        <d v="2020-08-01T00:00:00Z"/>
        <d v="2020-02-01T00:00:00Z"/>
        <d v="2020-08-17T00:00:00Z"/>
        <d v="2020-06-01T00:00:00Z"/>
        <d v="2020-09-01T00:00:00Z"/>
        <d v="2019-08-01T00:00:00Z"/>
        <d v="2020-01-02T00:00:00Z"/>
        <d v="2020-04-01T00:00:00Z"/>
        <d v="2020-02-03T00:00:00Z"/>
        <d v="2020-08-10T00:00:00Z"/>
        <d v="2020-08-03T00:00:00Z"/>
        <d v="2018-10-01T00:00:00Z"/>
        <d v="2018-09-01T00:00:00Z"/>
        <d v="2018-08-01T00:00:00Z"/>
        <d v="2018-04-11T00:00:00Z"/>
        <d v="2019-12-02T00:00:00Z"/>
        <d v="2020-08-13T00:00:00Z"/>
        <d v="2020-09-08T00:00:00Z"/>
        <d v="2017-10-02T00:00:00Z"/>
        <d v="2020-09-07T00:00:00Z"/>
        <d v="2020-03-02T00:00:00Z"/>
        <d v="2019-02-01T00:00:00Z"/>
        <d v="2019-10-25T00:00:00Z"/>
        <d v="2017-10-25T00:00:00Z"/>
        <d v="2016-01-01T00:00:00Z"/>
        <d v="2012-02-22T00:00:00Z"/>
        <d v="2016-09-23T00:00:00Z"/>
        <d v="2018-03-20T00:00:00Z"/>
        <d v="2020-07-12T00:00:00Z"/>
        <d v="2019-01-10T00:00:00Z"/>
        <d v="2020-06-12T00:00:00Z"/>
        <d v="2019-09-01T00:00:00Z"/>
        <d v="2017-07-21T00:00:00Z"/>
        <d v="2020-03-31T00:00:00Z"/>
        <d v="2018-01-01T00:00:00Z"/>
        <d v="2018-11-01T00:00:00Z"/>
        <d v="2020-03-29T00:00:00Z"/>
        <d v="2016-03-01T00:00:00Z"/>
        <d v="2020-06-15T00:00:00Z"/>
        <d v="2019-11-29T00:00:00Z"/>
        <d v="2020-03-21T00:00:00Z"/>
        <d v="2019-02-26T00:00:00Z"/>
        <d v="2018-11-16T00:00:00Z"/>
        <d v="2019-02-15T00:00:00Z"/>
        <d v="2018-10-02T00:00:00Z"/>
        <d v="2018-08-23T00:00:00Z"/>
        <d v="2016-09-28T00:00:00Z"/>
        <d v="2013-12-01T00:00:00Z"/>
        <d v="2019-10-10T00:00:00Z"/>
        <d v="2018-04-01T00:00:00Z"/>
        <d v="2017-10-21T00:00:00Z"/>
        <d v="2019-09-06T00:00:00Z"/>
        <d v="2018-02-19T00:00:00Z"/>
        <d v="2018-03-29T00:00:00Z"/>
        <d v="2015-01-01T00:00:00Z"/>
        <d v="2018-08-17T00:00:00Z"/>
        <d v="2017-02-14T00:00:00Z"/>
        <d v="2019-12-01T00:00:00Z"/>
        <d v="2017-11-02T00:00:00Z"/>
        <d v="2013-07-26T00:00:00Z"/>
        <d v="2019-06-14T00:00:00Z"/>
        <d v="2020-06-11T00:00:00Z"/>
        <d v="2012-07-12T00:00:00Z"/>
        <d v="2011-05-26T00:00:00Z"/>
        <d v="2007-10-15T00:00:00Z"/>
        <d v="2019-11-05T00:00:00Z"/>
        <d v="2005-03-29T00:00:00Z"/>
        <d v="2019-07-10T00:00:00Z"/>
        <d v="2019-08-20T00:00:00Z"/>
        <d v="2010-10-08T00:00:00Z"/>
        <d v="2009-08-31T00:00:00Z"/>
        <d v="2010-09-22T00:00:00Z"/>
        <d v="2019-12-05T00:00:00Z"/>
        <d v="2005-12-19T00:00:00Z"/>
        <d v="2020-11-13T00:00:00Z"/>
        <d v="2007-08-07T00:00:00Z"/>
        <d v="2019-12-10T00:00:00Z"/>
        <d v="2020-02-10T00:00:00Z"/>
        <d v="2020-03-23T00:00:00Z"/>
        <d v="2004-04-01T00:00:00Z"/>
        <d v="2005-09-23T00:00:00Z"/>
        <d v="2010-06-09T00:00:00Z"/>
        <d v="2018-08-15T00:00:00Z"/>
        <d v="2019-01-03T00:00:00Z"/>
        <d v="2018-07-23T00:00:00Z"/>
        <d v="2017-12-13T00:00:00Z"/>
        <d v="2016-02-12T00:00:00Z"/>
        <d v="2019-05-24T00:00:00Z"/>
        <d v="2018-12-28T00:00:00Z"/>
        <d v="2019-05-17T00:00:00Z"/>
        <d v="2018-01-31T00:00:00Z"/>
        <d v="2010-11-15T00:00:00Z"/>
        <d v="2011-02-03T00:00:00Z"/>
        <d v="2020-03-08T00:00:00Z"/>
        <d v="2019-05-14T00:00:00Z"/>
        <d v="2019-06-27T00:00:00Z"/>
        <d v="2020-01-20T00:00:00Z"/>
        <d v="2019-05-10T00:00:00Z"/>
        <d v="2020-03-16T00:00:00Z"/>
        <d v="2019-08-03T00:00:00Z"/>
        <d v="2019-03-01T00:00:00Z"/>
        <d v="2014-07-16T00:00:00Z"/>
        <d v="2004-09-27T00:00:00Z"/>
        <d v="2018-06-01T00:00:00Z"/>
        <d v="2005-06-15T00:00:00Z"/>
        <d v="2016-09-08T00:00:00Z"/>
        <d v="2011-01-07T00:00:00Z"/>
        <d v="2009-04-22T00:00:00Z"/>
        <d v="2018-07-24T00:00:00Z"/>
        <d v="2015-04-03T00:00:00Z"/>
        <d v="2020-03-12T00:00:00Z"/>
        <d v="2020-03-19T00:00:00Z"/>
        <d v="2019-06-17T00:00:00Z"/>
        <d v="2019-04-05T00:00:00Z"/>
        <d v="2006-07-14T00:00:00Z"/>
        <d v="2009-06-22T00:00:00Z"/>
        <d v="2010-12-03T00:00:00Z"/>
        <d v="2010-11-02T00:00:00Z"/>
        <d v="2013-09-06T00:00:00Z"/>
        <d v="2007-11-02T00:00:00Z"/>
        <d v="2016-10-12T00:00:00Z"/>
        <d v="2019-04-11T00:00:00Z"/>
        <d v="2019-08-23T00:00:00Z"/>
        <d v="2013-06-12T00:00:00Z"/>
        <d v="2013-06-06T00:00:00Z"/>
        <d v="2007-06-05T00:00:00Z"/>
        <d v="2019-02-14T00:00:00Z"/>
        <d v="2018-05-05T00:00:00Z"/>
        <d v="2019-08-30T00:00:00Z"/>
        <d v="2012-08-20T00:00:00Z"/>
        <d v="2016-08-01T00:00:00Z"/>
        <d v="2018-07-30T00:00:00Z"/>
        <d v="2018-03-31T00:00:00Z"/>
        <d v="2017-01-01T00:00:00Z"/>
        <d v="2018-12-14T00:00:00Z"/>
        <d v="2018-04-02T00:00:00Z"/>
        <d v="2018-03-05T00:00:00Z"/>
        <d v="2019-03-27T00:00:00Z"/>
        <d v="2019-05-20T00:00:00Z"/>
        <d v="2020-12-01T00:00:00Z"/>
        <d v="2019-11-13T00:00:00Z"/>
        <d v="2011-01-24T00:00:00Z"/>
        <d v="2013-04-01T00:00:00Z"/>
        <d v="2015-05-18T00:00:00Z"/>
        <d v="2009-07-17T00:00:00Z"/>
        <d v="2016-10-19T00:00:00Z"/>
        <d v="2017-09-29T00:00:00Z"/>
        <d v="2019-10-22T00:00:00Z"/>
        <d v="2010-10-29T00:00:00Z"/>
        <d v="2013-04-29T00:00:00Z"/>
        <d v="2006-11-21T00:00:00Z"/>
        <d v="2009-05-06T00:00:00Z"/>
        <d v="2010-06-07T00:00:00Z"/>
        <d v="2017-10-16T00:00:00Z"/>
        <d v="2019-12-19T00:00:00Z"/>
        <d v="2008-10-29T00:00:00Z"/>
        <d v="2006-07-19T00:00:00Z"/>
        <d v="2011-03-31T00:00:00Z"/>
        <d v="2009-01-01T00:00:00Z"/>
        <d v="2008-08-13T00:00:00Z"/>
        <d v="2018-07-18T00:00:00Z"/>
        <d v="2010-01-08T00:00:00Z"/>
        <d v="2018-01-25T00:00:00Z"/>
        <d v="2012-03-27T00:00:00Z"/>
        <d v="2014-01-01T00:00:00Z"/>
        <d v="2020-04-20T00:00:00Z"/>
        <d v="2012-01-19T00:00:00Z"/>
        <d v="2019-05-01T00:00:00Z"/>
        <d v="2018-10-30T00:00:00Z"/>
        <d v="2019-12-20T00:00:00Z"/>
        <d v="2004-11-15T00:00:00Z"/>
        <d v="2017-03-29T00:00:00Z"/>
        <d v="2019-09-26T00:00:00Z"/>
        <d v="2019-12-13T00:00:00Z"/>
        <d v="2011-05-09T00:00:00Z"/>
        <d v="2018-12-21T00:00:00Z"/>
        <d v="2019-09-13T00:00:00Z"/>
        <d v="2019-06-11T00:00:00Z"/>
        <d v="2018-06-22T00:00:00Z"/>
        <d v="2004-07-21T00:00:00Z"/>
        <d v="2010-03-30T00:00:00Z"/>
        <d v="2015-10-27T00:00:00Z"/>
        <d v="2005-03-08T00:00:00Z"/>
        <d v="2019-05-23T00:00:00Z"/>
        <d v="2012-08-17T00:00:00Z"/>
        <d v="2019-09-09T00:00:00Z"/>
        <d v="2007-05-24T00:00:00Z"/>
        <d v="2008-12-18T00:00:00Z"/>
        <d v="2014-06-19T00:00:00Z"/>
        <d v="2018-02-26T00:00:00Z"/>
        <d v="2019-05-28T00:00:00Z"/>
        <d v="2019-09-24T00:00:00Z"/>
        <d v="2007-04-09T00:00:00Z"/>
        <d v="2003-08-07T00:00:00Z"/>
        <d v="2013-11-18T00:00:00Z"/>
        <d v="2019-07-17T00:00:00Z"/>
        <d v="2009-12-15T00:00:00Z"/>
        <d v="2011-10-24T00:00:00Z"/>
        <d v="2020-06-14T00:00:00Z"/>
        <d v="2020-04-14T00:00:00Z"/>
        <d v="2018-09-21T00:00:00Z"/>
        <d v="2020-02-07T00:00:00Z"/>
        <d v="2019-05-09T00:00:00Z"/>
        <d v="2013-02-21T00:00:00Z"/>
        <d v="2013-03-01T00:00:00Z"/>
        <d v="2010-07-30T00:00:00Z"/>
        <d v="2005-06-02T00:00:00Z"/>
        <d v="2007-05-01T00:00:00Z"/>
        <d v="2008-12-11T00:00:00Z"/>
        <d v="2018-06-14T00:00:00Z"/>
        <d v="2018-04-04T00:00:00Z"/>
        <d v="2020-01-31T00:00:00Z"/>
        <d v="2013-12-17T00:00:00Z"/>
        <d v="2016-08-19T00:00:00Z"/>
        <d v="2020-03-06T00:00:00Z"/>
        <d v="2017-07-12T00:00:00Z"/>
        <d v="2019-10-04T00:00:00Z"/>
        <d v="2006-10-31T00:00:00Z"/>
        <d v="2019-03-11T00:00:00Z"/>
        <d v="2018-06-11T00:00:00Z"/>
        <d v="2019-06-10T00:00:00Z"/>
        <d v="2019-01-22T00:00:00Z"/>
        <d v="2005-01-13T00:00:00Z"/>
        <d v="2010-07-13T00:00:00Z"/>
        <d v="2020-02-12T00:00:00Z"/>
        <d v="2005-12-08T00:00:00Z"/>
        <d v="2018-10-03T00:00:00Z"/>
        <d v="2019-09-14T00:00:00Z"/>
        <d v="2020-01-14T00:00:00Z"/>
        <d v="2020-03-09T00:00:00Z"/>
        <d v="2012-03-14T00:00:00Z"/>
        <d v="2019-06-28T00:00:00Z"/>
        <d v="2018-07-13T00:00:00Z"/>
        <d v="2018-05-14T00:00:00Z"/>
        <d v="2018-10-26T00:00:00Z"/>
        <d v="2018-03-19T00:00:00Z"/>
        <d v="2018-06-19T00:00:00Z"/>
        <d v="2010-03-10T00:00:00Z"/>
        <d v="2009-11-05T00:00:00Z"/>
        <d v="2017-05-25T00:00:00Z"/>
        <d v="2007-12-01T00:00:00Z"/>
        <d v="2014-06-27T00:00:00Z"/>
        <d v="2013-01-01T00:00:00Z"/>
        <d v="2004-11-04T00:00:00Z"/>
        <d v="2011-12-28T00:00:00Z"/>
        <d v="2013-02-11T00:00:00Z"/>
        <d v="2009-10-06T00:00:00Z"/>
        <d v="2016-08-29T00:00:00Z"/>
        <d v="2017-05-12T00:00:00Z"/>
        <d v="2013-07-05T00:00:00Z"/>
        <d v="2012-01-30T00:00:00Z"/>
        <d v="2017-08-09T00:00:00Z"/>
        <d v="2007-02-23T00:00:00Z"/>
        <d v="2016-05-02T00:00:00Z"/>
        <d v="2017-05-22T00:00:00Z"/>
        <d v="2017-02-13T00:00:00Z"/>
        <d v="2016-03-28T00:00:00Z"/>
        <d v="2012-01-27T00:00:00Z"/>
        <d v="2011-11-18T00:00:00Z"/>
        <d v="2017-11-15T00:00:00Z"/>
        <d v="2012-02-03T00:00:00Z"/>
        <d v="2008-09-24T00:00:00Z"/>
        <d v="2018-05-16T00:00:00Z"/>
        <d v="2013-03-18T00:00:00Z"/>
        <d v="2004-04-23T00:00:00Z"/>
        <d v="2006-06-23T00:00:00Z"/>
        <d v="2005-02-22T00:00:00Z"/>
        <d v="2007-01-22T00:00:00Z"/>
        <d v="2012-03-09T00:00:00Z"/>
        <d v="2012-07-26T00:00:00Z"/>
        <d v="2011-10-31T00:00:00Z"/>
        <d v="2012-08-16T00:00:00Z"/>
        <d v="2013-01-08T00:00:00Z"/>
        <d v="2013-03-22T00:00:00Z"/>
        <d v="2012-02-27T00:00:00Z"/>
        <d v="2015-11-15T00:00:00Z"/>
        <d v="2018-12-18T00:00:00Z"/>
        <d v="2018-11-13T00:00:00Z"/>
        <d v="2013-01-30T00:00:00Z"/>
        <d v="2018-10-31T00:00:00Z"/>
        <d v="2019-02-19T00:00:00Z"/>
        <d v="2016-11-18T00:00:00Z"/>
        <d v="2011-07-20T00:00:00Z"/>
        <d v="2018-04-25T00:00:00Z"/>
        <d v="2019-10-07T00:00:00Z"/>
        <d v="2019-03-13T00:00:00Z"/>
        <d v="2016-11-14T00:00:00Z"/>
        <d v="2008-10-14T00:00:00Z"/>
        <d v="2009-07-24T00:00:00Z"/>
        <d v="2011-11-21T00:00:00Z"/>
        <d v="2016-12-19T00:00:00Z"/>
        <d v="2017-04-03T00:00:00Z"/>
        <d v="2009-06-24T00:00:00Z"/>
        <d v="2020-03-14T00:00:00Z"/>
        <d v="2018-11-12T00:00:00Z"/>
        <d v="2009-10-08T00:00:00Z"/>
        <d v="2017-10-13T00:00:00Z"/>
        <d v="2013-09-26T00:00:00Z"/>
        <d v="2019-01-07T00:00:00Z"/>
        <d v="2006-11-08T00:00:00Z"/>
        <d v="2006-09-18T00:00:00Z"/>
        <d v="2020-03-24T00:00:00Z"/>
        <d v="2019-05-02T00:00:00Z"/>
        <d v="2006-06-12T00:00:00Z"/>
        <d v="2020-06-19T00:00:00Z"/>
        <d v="2014-01-03T00:00:00Z"/>
        <d v="2018-04-23T00:00:00Z"/>
        <d v="2018-07-07T00:00:00Z"/>
        <d v="2019-08-14T00:00:00Z"/>
        <d v="2019-01-04T00:00:00Z"/>
        <d v="2017-11-21T00:00:00Z"/>
        <d v="2018-03-02T00:00:00Z"/>
        <d v="2005-04-07T00:00:00Z"/>
        <d v="2018-10-11T00:00:00Z"/>
        <d v="2014-09-18T00:00:00Z"/>
        <d v="2019-04-29T00:00:00Z"/>
        <d v="2020-06-22T00:00:00Z"/>
        <d v="2019-10-28T00:00:00Z"/>
        <d v="2005-04-27T00:00:00Z"/>
        <d v="2015-03-10T00:00:00Z"/>
        <d v="2019-11-14T00:00:00Z"/>
        <d v="2019-10-21T00:00:00Z"/>
        <d v="2020-01-07T00:00:00Z"/>
        <d v="2019-11-21T00:00:00Z"/>
        <d v="2007-11-03T00:00:00Z"/>
        <d v="2007-08-09T00:00:00Z"/>
        <d v="2019-08-07T00:00:00Z"/>
        <d v="2018-02-01T00:00:00Z"/>
        <d v="2008-11-25T00:00:00Z"/>
        <d v="2006-02-08T00:00:00Z"/>
        <d v="2019-01-15T00:00:00Z"/>
        <d v="2013-06-22T00:00:00Z"/>
        <d v="2017-08-31T00:00:00Z"/>
        <d v="2019-03-31T00:00:00Z"/>
        <d v="2011-07-26T00:00:00Z"/>
        <d v="2019-02-28T00:00:00Z"/>
        <d v="2018-07-12T00:00:00Z"/>
        <d v="2018-04-03T00:00:00Z"/>
        <d v="2019-04-17T00:00:00Z"/>
        <d v="2012-11-13T00:00:00Z"/>
        <d v="2012-06-21T00:00:00Z"/>
        <d v="2018-09-18T00:00:00Z"/>
        <d v="2012-11-02T00:00:00Z"/>
        <d v="2018-12-26T00:00:00Z"/>
        <d v="2008-06-23T00:00:00Z"/>
        <d v="2018-11-21T00:00:00Z"/>
        <d v="2012-10-26T00:00:00Z"/>
        <d v="2018-12-20T00:00:00Z"/>
        <d v="2020-04-21T00:00:00Z"/>
        <d v="2019-12-16T00:00:00Z"/>
        <d v="2020-06-23T00:00:00Z"/>
        <d v="2009-12-01T00:00:00Z"/>
        <d v="2020-01-29T00:00:00Z"/>
        <d v="2009-01-07T00:00:00Z"/>
        <d v="2007-01-02T00:00:00Z"/>
        <d v="2019-02-10T00:00:00Z"/>
        <d v="2019-07-05T00:00:00Z"/>
        <d v="2019-12-12T00:00:00Z"/>
        <d v="2018-09-05T00:00:00Z"/>
        <d v="2020-05-16T00:00:00Z"/>
        <d v="2011-08-03T00:00:00Z"/>
        <d v="2018-07-16T00:00:00Z"/>
        <d v="2019-03-14T00:00:00Z"/>
        <d v="2018-10-19T00:00:00Z"/>
        <d v="2011-03-08T00:00:00Z"/>
        <d v="2019-11-04T00:00:00Z"/>
        <d v="2018-10-10T00:00:00Z"/>
        <d v="2020-05-06T00:00:00Z"/>
        <d v="2019-07-01T00:00:00Z"/>
        <d v="2018-09-25T00:00:00Z"/>
        <d v="2019-12-24T00:00:00Z"/>
        <d v="2007-06-13T00:00:00Z"/>
        <d v="2018-07-10T00:00:00Z"/>
        <d v="2012-05-11T00:00:00Z"/>
        <d v="2008-12-05T00:00:00Z"/>
        <d v="2013-09-05T00:00:00Z"/>
        <d v="2019-09-11T00:00:00Z"/>
        <d v="2019-06-21T00:00:00Z"/>
        <d v="2018-06-26T00:00:00Z"/>
        <d v="2014-10-07T00:00:00Z"/>
        <d v="2019-09-17T00:00:00Z"/>
        <d v="2018-09-13T00:00:00Z"/>
        <d v="2019-01-08T00:00:00Z"/>
        <d v="2018-09-17T00:00:00Z"/>
        <d v="2013-10-30T00:00:00Z"/>
        <d v="2012-04-20T00:00:00Z"/>
        <d v="2010-10-22T00:00:00Z"/>
        <d v="2004-06-16T00:00:00Z"/>
        <d v="2019-12-30T00:00:00Z"/>
        <d v="2019-09-27T00:00:00Z"/>
        <d v="2017-06-20T00:00:00Z"/>
        <d v="2005-05-31T00:00:00Z"/>
        <d v="2006-06-06T00:00:00Z"/>
        <d v="2019-07-26T00:00:00Z"/>
        <d v="2011-04-20T00:00:00Z"/>
        <d v="2015-11-04T00:00:00Z"/>
        <d v="2020-03-25T00:00:00Z"/>
        <d v="2010-01-01T00:00:00Z"/>
        <d v="2015-09-17T00:00:00Z"/>
        <d v="2017-06-21T00:00:00Z"/>
        <d v="2018-03-13T00:00:00Z"/>
        <d v="2019-08-22T00:00:00Z"/>
        <d v="2018-05-04T00:00:00Z"/>
        <d v="2020-06-03T00:00:00Z"/>
        <d v="2019-03-03T00:00:00Z"/>
        <d v="2020-04-25T00:00:00Z"/>
        <d v="2015-06-17T00:00:00Z"/>
        <d v="2012-12-14T00:00:00Z"/>
        <d v="2008-01-07T00:00:00Z"/>
        <d v="2006-09-07T00:00:00Z"/>
        <d v="2020-05-13T00:00:00Z"/>
        <d v="2020-01-17T00:00:00Z"/>
        <d v="2007-12-31T00:00:00Z"/>
        <d v="2008-07-16T00:00:00Z"/>
        <d v="2006-02-15T00:00:00Z"/>
        <d v="2010-08-26T00:00:00Z"/>
        <d v="2018-09-12T00:00:00Z"/>
        <d v="2015-04-21T00:00:00Z"/>
        <d v="2011-07-18T00:00:00Z"/>
        <d v="2020-03-11T00:00:00Z"/>
        <d v="2019-03-29T00:00:00Z"/>
        <d v="2012-02-28T00:00:00Z"/>
        <d v="2004-08-31T00:00:00Z"/>
        <d v="2006-03-23T00:00:00Z"/>
        <d v="2014-05-01T00:00:00Z"/>
        <d v="2007-01-01T00:00:00Z"/>
        <d v="2012-08-01T00:00:00Z"/>
        <d v="2019-02-04T00:00:00Z"/>
        <d v="2020-08-24T00:00:00Z"/>
        <d v="2010-07-28T00:00:00Z"/>
        <d v="2020-05-11T00:00:00Z"/>
        <d v="2005-04-08T00:00:00Z"/>
        <d v="2013-09-07T00:00:00Z"/>
        <d v="2015-11-20T00:00:00Z"/>
        <d v="2019-07-31T00:00:00Z"/>
        <d v="2017-09-28T00:00:00Z"/>
        <d v="2019-06-18T00:00:00Z"/>
        <d v="2007-10-30T00:00:00Z"/>
        <d v="2014-07-30T00:00:00Z"/>
        <d v="2008-06-16T00:00:00Z"/>
        <d v="2013-04-15T00:00:00Z"/>
        <d v="2016-11-15T00:00:00Z"/>
        <d v="2013-06-04T00:00:00Z"/>
        <d v="2018-12-01T00:00:00Z"/>
        <d v="2020-01-09T00:00:00Z"/>
        <d v="2012-12-06T00:00:00Z"/>
        <d v="2011-01-01T00:00:00Z"/>
        <d v="2012-01-01T00:00:00Z"/>
        <d v="2015-06-16T00:00:00Z"/>
      </sharedItems>
    </cacheField>
    <cacheField name="Property Listing Link" numFmtId="0">
      <sharedItems containsBlank="1">
        <s v="https://casa.mercadolibre.com.ar/MLA-854740182-se-vende-propiedad-en-alejandro-suarez-maipu-_JM#reco_item_pos=0&amp;reco_backend=triggered_realestate_recommendations&amp;reco_backend_type=function&amp;reco_client=classi-realestate-vip&amp;reco_id=c6a80aae-7838-4e36-b2f9-"/>
        <s v="https://casa.mercadolibre.com.ar/MLA-840744102-se-vende-inmueble-en-tropero-sosa-maipu-_JM"/>
        <m/>
        <s v="https://www.commercialrealestate.com.au/property/17-whittle-street-hughes-act-2605-2014768496"/>
        <s v="https://www.realestate.com.au/property/46-berkeley-rd-berkeley-nsw-2506"/>
        <s v="https://www.domain.com.au/10-cooper-close-lennox-head-nsw-2478-2016233433"/>
        <s v="https://www.realestate.com.au/sold/property-house-nsw-macksville-128070634"/>
        <s v="https://www.domain.com.au/property-profile/91-larmer-street-narrandera-nsw-2700"/>
        <s v="https://www.austlii.edu.au/cgi-bin/viewdoc/au/cases/nsw/NSWLEC/2017/1535.html?context=1;query=jehovahs%20witnesses;mask_path=&amp;fbclid=IwAR2sMclo28G6qFXEm8nBWetiXP5YWflAdFvQ89519c-UHruXOZ2O1GkeC2k"/>
        <s v="https://www.allhomes.com.au/sale/103-richardson-road-raymond-terrace-hunter-176712890"/>
        <s v="https://www.realestate.com.au/sold/property-house-nsw-warners+bay-130610162"/>
        <s v="https://www.realestate.com.au/sold/property-other-nsw-woy+woy-108177176"/>
        <s v="https://www.onthehouse.com.au/property/qld/blackwater-4717/33-acacia-st-blackwater-qld-4717-5204890"/>
        <s v="http://img.ksou.cn/p.php?q=Caboolture&amp;sta=qld&amp;id=1296556&amp;address=8+Grout+Street%2C+Caboolture"/>
        <s v="https://www.realestate.com.au/sold/property-house-qld-camp+hill-131673554"/>
        <s v="https://www.onthehouse.com.au/property/qld/clontarf-4019/3--7-lavelle-ct-clontarf-qld-4019-13811034"/>
        <s v="https://www.realestate.com.au/property/68-laughlin-st-kingston-qld-4114"/>
        <s v="https://www.realestate.com.au/property/42-sattler-rd-meridan-plains-qld-4551"/>
        <s v="https://www.realestate.com.au/sold/property-house-qld-miles-122955890"/>
        <s v="https://www.realestate.com.au/sold/property-house-qld-mount+julian-127916114"/>
        <s v="https://www.onthehouse.com.au/property/sa/crafers-5152/8-james-st-crafers-sa-5152-17430674"/>
        <s v="https://www.realestate.com.au/property/211-yorktown-rd-craigmore-sa-5114"/>
        <s v="https://www.commercialrealestate.com.au/property/corner-of-botany-drive-the-golden-way-golden-grove-sa-5125-2014848285"/>
        <s v="https://www.onthehouse.com.au/property/sa/lobethal-5241/53-woodside-rd-lobethal-sa-5241-10619087"/>
        <s v="https://www.domain.com.au/62-geddes-road-port-pirie-sa-5540-2014408303"/>
        <s v="https://www.domain.com.au/property-profile/10-bowden-drive-bridgewater-tas-7030"/>
        <s v="https://www.realestate.com.au/property/64-charles-st-triabunna-tas-7190"/>
        <s v="https://www.realestate.com.au/property/22-allambie-cres-ulverstone-tas-7315"/>
        <s v="https://www.domain.com.au/property-profile/192-marine-parade-hastings-vic-3915"/>
        <s v="https://www.realestate.com.au/property/72-luckie-st-nunawading-vic-3131?fbclid=IwAR2vFfulH5QgAS12hykWlBjsvaKG6wf_YXzh2PEXwB_D8uehfmVub95W6EI"/>
        <s v="https://www.realestate.com.au/property/69-71-athol-rd-springvale-south-vic-3172"/>
        <s v="https://www.realestate.com.au/property/13-wallington-rd-balga-wa-6061"/>
        <s v="https://www.domain.com.au/property-profile/13-millard-street-derby-wa-6728?fbclid=IwAR2HT8kGKDGU93RkxcO8qMrUwvnJ7VoU2qzQAct6yzZB1Pk5-EasJV2ZiMo"/>
        <s v="https://perth.ljhcommercial.com.au/other-in-dianella-wa-6059-au-13ghga?search=%2fsearch%2fcommercial-property-for-sale%2fpage-2%3f#.XmQ0aqgzZhE"/>
        <s v="https://www.ljhcommercial.com.au/blog/media-centre/march-2018/developers-bow-out-as-church-site-changes-faiths"/>
        <s v="http://www.coldwellbankerbahamas.com/listing-sold-24-quakoo-street-16426.html"/>
        <s v="https://www.remax.ca/bc/kamloops-real-estate/779-franklin-road-wp_id256670650-lst"/>
        <s v="https://www.royallepage.ca/en/property/british-columbia/kelowna/1880-dallas-road/11225984/mls10200356/"/>
        <s v="https://listings.soreb.org/listing/dp1p#!gallery"/>
        <s v="https://www.redfin.ca/bc/osoyoos/6221-97th-St-V0H-1V5/home/170017601"/>
        <s v="https://www.zolo.ca/sicamous-real-estate/502-cedar-street"/>
        <s v="https://www.realtor.ca/real-estate/21641053/184-woodstock-road-fredericton"/>
        <s v="https://www.redfin.ca/on/clarington/1518-Nash-Rd-L1E-2K8/home/169991228"/>
        <s v="https://www.gallorealestateltd.com/ON/niagara-space-falls/l2g5a6/3809603-MLS-30562477-na-6735-Caledonia-Street"/>
        <s v="https://www.remax.ca/commercial/sk/kindersley-real-estate/300-1-ave-w-off_id514709635f794a4eeac71099d182ff6a-prty"/>
        <s v="https://local.mercadolibre.cl/MLC-521040274-tagua-tagua-8235-_JM"/>
        <s v="https://www.point2homes.com/CR/Commercial-For-Sale/Heredia/Belen/La-Asuncion-De-Belen/La-Asuncion-de-Belen/88789825.html"/>
        <s v="https://www.propertysale.dk/sale/Europe-EU/Denmark/Sj%C3%A6lland/nyg%C3%A5rdevej-2_EN.php?fc=0"/>
        <s v="https://panoraama.com/jt/ksali_ou/Konventtisaliesite_engl.pdf"/>
        <s v="https://www.immo-makler-team.de/immobilienangebote.xhtml?id[obj0]=809"/>
        <s v="https://www.immo-makler-team.de/immobilienangebote.xhtml?id[obj0]=899"/>
        <s v="https://www.immobilienscout24.de/expose/114945922#/"/>
        <s v="https://www.suedkurier.de/region/kreis-konstanz/singen/mehr-platz-fuer-kinder-ehemaliger-versammlungsraum-der-zeugen-jehovas-soll-zum-kindergarten-werden;art372458,10568456"/>
        <s v="https://www.immo-makler-team.de/immobilienangebote.xhtml?id[obj0]=865"/>
        <s v="https://wahrheitenjetzt.de/jehovas-zeugen-koenigreichssaele-werden-ueber-ebay-kleinanzeigen-teuer-verkauft/"/>
        <s v="https://wahrheitenjetzt.de/jehovas-zeugen-koenigreichssaal-in-marl-wird-bei-ebay-verkauft/"/>
        <s v="https://www.immobilienscout24.de/expose/111480947#/"/>
        <s v="https://www.1a-immobilienmarkt.de/expose/2996741.html?"/>
        <s v="https://www.wp.de/staedte/meschede-und-umland/zeugen-jehovas-verkaufen-ihren-koenigreichssaal-id11141965.html"/>
        <s v="https://www.wn.de/Muensterland/Kreis-Steinfurt/Lengerich/3673435-Zeugen-Jehovas-geben-Koenigreichssaal-auf-Immobilie-soll-verkauft-werden"/>
        <s v="https://www.kalaydo.de/immobilien/haus-kaufen/haus+im+teileigentum/a/a9c0b7ac/?"/>
        <s v="https://www.immowelt.de/expose/2pz4f4x"/>
        <s v="https://www.rheinland.immo/Objekt--in-Kerken-Nieukerk-ehemaliger-bahnhof-inkl.-versammlungssaal-grossflaechiger-wohnung-baulandreserve/IB-1849.htm"/>
        <s v="https://www.immo-makler-team.de/immobilienangebote.xhtml?id[obj0]=903"/>
        <s v="https://www.immobilienscout24.de/expose/86742480?utm_medium=referral&amp;utm_source=immosuchmaschine.de&amp;utm_campaign=residential&amp;utm_content=residential_expose#/"/>
        <s v="https://www.immo-makler-team.de/immobilienangebote.xhtml?id[obj0]=835"/>
        <s v="https://www.ebay-kleinanzeigen.de/s-anzeige/vereinssaal-mit-zwei-wohnungen-in-schlangen/1345813602-208-1250?fbclid=IwAR2x9eymBEJCr2FLAldOUAoiueykH-C8Qjyzzjsy8h9Ehv8Qznfpg30pAzg"/>
        <s v="https://mapio.net/expose/3239505/?gallery=2"/>
        <s v="https://www.immobilienscout24.de/expose/112053140#/"/>
        <s v="https://www.immo-makler-team.de/immobilienangebote.xhtml?id[obj0]=813"/>
        <s v="https://www.badische-zeitung.de/weiler-gemeinde-der-zeugen-jehovas-verkauft-den-koenigreichssaal--110756489.html"/>
        <s v="https://rp-online.de/nrw/staedte/wermelskirchen/zeugen-jehovas-verkaufen-ihr-gebaeude_aid-46020487?fbclid=IwAR229X7dVUv2ZqNnlVWqOJPVMgMc2HDAbslMYpVjzYE-88u_sFnVmaukhjw"/>
        <s v="https://www.immowelt.de/expose/2s3bk4b"/>
        <s v="https://www.suedkurier.de/region/hochrhein/grenzach-wyhlen/Zeugen-Jehovas-verkaufen-ihren-Koenigreichssaal-in-Grenzach-Wyhlen;art372596,9079676"/>
        <s v="http://www.pspgreece.gr/en/commercial/kifisias-77"/>
        <s v="https://www.savills.com.hk/_news/article/574/141879-0/12/2015/savills-appointed-sole-agent-for-the-tender-sale-of-12-and-14-kent-road--kowloon-tong"/>
        <s v="https://www.irishtimes.com/business/commercial-property/jehovah-s-witness-to-sell-irish-hq-1.615365?fbclid=IwAR3t8obvT2E5oE3w4czoFTM7epM9hRILbvlNk0EZyDPajeX9BmHDEChmI6E"/>
        <s v="http://jamaica-gleaner.com/article/news/20160410/jehovahs-witnesses-properties-sale-rising-costs-force-religious-group-go-small"/>
        <s v="https://www.fundainbusiness.nl/kantoor/verkocht/maastricht/object-40652042-peymeestersdreef-22/"/>
        <s v="https://www.qv.co.nz/property/20-rimu-street-naenae-lower-hutt-5011/942331"/>
        <s v="https://www.oneroof.co.nz/estimate/690-toe-toe-road-mangaweka-rangitikei-manawatu-wanganui-581622"/>
        <s v="https://www.qv.co.nz/property/44-barrett-road-whalers-gate-new-plymouth-4310/2835266"/>
        <s v="https://www.ratemyagent.co.nz/real-estate-agency/bayleys-upper-hutt-bayleys-realty-group-ltd/property-listings/94-wainuiomata-rd-wainuiomata-aaev3f"/>
        <s v="https://www.oneroof.co.nz/estimate/198-mahia-road-wattle-downs-1937680"/>
        <s v="https://naringsmegleren.no/eiendommer/til-salgs/?id=180221986"/>
        <s v="https://www.google.com/maps/place/Vossegata+34,+0475+Oslo,+Norway/@59.9330366,10.7703306,3a,75y,283.47h,97.29t/data=!3m6!1e1!3m4!1s82qJ_ANBAPITgfeadLb08Q!2e0!7i16384!8i8192!4m5!3m4!1s0x46416e40033474c1:0xe655dddf8f6c98cd!8m2!3d59.9330792!4d10.7698467"/>
        <s v="http://innsyn.seljord.kommune.no/innsynSeljord/Dmb/ShowDmbDocument?mId=410&amp;documentTypeId=MI"/>
        <s v="https://clasipar.paraguay.com/motor/@hermoso_yate_para_vivir"/>
        <s v="https://www.otodom.pl/oferta/szukasz-mieszkania-zobacz-45-50-m2-ID470bg.html"/>
        <s v="https://www.otodom.pl/oferta/dzialka-budowlana-duze-mozliwosci-1805-m2-ID440om.html"/>
        <s v="https://www.otodom.pl/oferta/lokal-uzytkowy-205-m2-do-zagospodarowania-unislaw-ID45OXK.html"/>
        <s v="https://www.otodom.pl/oferta/czersk-130-m2-adaptacja-na-mieszkanie-ID43KHU.html"/>
        <s v="https://www.otodom.pl/oferta/dom-z-funkcja-mieszkalno-uslugowa-nowa-cena-ID3TGDu.html"/>
        <s v="https://www.otodom.pl/oferta/centrum-gory-lokal-uzytkowy-76-55-m2-ID46F7L.html"/>
        <s v="https://www.otodom.pl/oferta/atrakcyjny-lokal-uzytkowy-z-mieszkaniem-330-m2-ID45YIE.html"/>
        <s v="https://www.otodom.pl/oferta/funkcjonalny-dom-217-m2-ostrow-wielkopolski-ID44fEp.html"/>
        <s v="https://www.otodom.pl/oferta/doskonala-dzialka-budowlana-1019-m2-ID4766W.html"/>
        <s v="https://www.otodom.pl/oferta/doskonala-nieruchomosc-pod-dzialalnosc-gosp-105-m2-ID45Amz.html"/>
        <s v="https://www.otodom.pl/oferta/ladny-dom-z-duza-dzialka-175-m2-wola-rychwalska-ID44zXj.html"/>
        <s v="https://www.otodom.pl/oferta/dobra-cena-dom-na-kosminku-lublin-ID47a1D.html"/>
        <s v="https://www.otodom.pl/oferta/dzialka-blisko-jeziora-czortynskiego-ID45nOh.html"/>
        <s v="https://www.otodom.pl/oferta/wielun-dom-w-atrakcyjnej-lokalizacji-miasta-ID46EU1.html"/>
        <s v="https://www.otodom.pl/oferta/dom-z-funkcja-mieszkalno-uslugowa-nowa-cena-ID3QJEY.html"/>
        <s v="https://www.otodom.pl/oferta/dom-duza-dzialka-kostomloty-ID40iwa.html"/>
        <s v="https://www.otodom.pl/oferta/rozne-uslugi-lokal-uzytkowy-186-m2-rudno-ID43Jqq.html"/>
        <s v="https://www.otodom.pl/oferta/kamienica-248-m2-inwestuj-zarabiaj-drezdenko-ID3GaEk.html"/>
        <s v="https://www.otodom.pl/oferta/atrakcyjna-dzialka-budowlana-niedaleko-centrum-ID46Hom.html"/>
        <s v="https://www.otodom.pl/oferta/dzialka-mieszkaniowo-uslugowa-1100-m2-czlekowka-ID46HrB.html"/>
        <s v="https://www.otodom.pl/oferta/przestronny-dom-dla-rodziny-144-m2-gostynin-ID471tS.html"/>
        <s v="https://www.otodom.pl/oferta/piaseczno-dom-z-wygodnym-parkingiem-ID3x0K7.html"/>
        <s v="https://www.otodom.pl/oferta/atrakcyjna-dzialka-inwestycyjna-w-nadarzynie-ID3rn40.html"/>
        <s v="https://www.otodom.pl/oferta/funkcjonalny-dom-234-m2-z-duza-dzialka-ID440oQ.html"/>
        <s v="https://www.otodom.pl/oferta/rybina-blisko-morza-dzialka-niezabudowana-2314-m2-ID43HkK.html"/>
        <s v="https://www.otodom.pl/oferta/piekna-dzialka-budowlana-0-5-ha-luczyna-ID47dKR.html"/>
        <s v="https://www.otodom.pl/oferta/mieszkanie-37-5m2-w-bardzo-dobrej-lokalizacji-ID47bbW.html"/>
        <s v="https://www.otodom.pl/oferta/duze-mozliwosci-dom-dzialkainwestycja-zobacz-ID470jJ.html"/>
        <s v="https://www.otodom.pl/oferta/lokal-uzytkowy-rozna-dzialalnosc-213-m2-gryfice-ID44f6t.html"/>
        <s v="https://www.otodom.pl/oferta/doskonala-lokalizacja-dom-216-m2-puck-ID45qmB.html"/>
        <s v="https://www.otodom.pl/oferta/dobra-cena-okazja-lokal-uzytkowy-lisowice-94-ID46wJA.html"/>
        <s v="https://www.otodom.pl/oferta/nowa-cena-budynek-parterowy-123-m2-sierakowo-ID4432r.html"/>
        <s v="https://www.otodom.pl/oferta/atrakcyjna-dzialka-budowlana-804-m2-jaworzno-ID46T3y.html"/>
        <s v="https://www.otodom.pl/oferta/nowa-nizsza-cena-atrakcyjny-dom-z-potencjalem-ID41AL8.html"/>
        <s v="https://www.otodom.pl/oferta/kamienica-pod-inwestycje-ID44NvL.html"/>
        <s v="https://www.otodom.pl/oferta/centrum-szczecinka-lokal-uzytkowy-246-m2-ID43Jmq.html"/>
        <s v="https://www.otodom.pl/oferta/lokal-149-m2-pod-dzialalnosc-uslugowa-okazja-ID3ZSra.html"/>
        <s v="https://www.otodom.pl/oferta/doskonala-lokalizacja-dzialka-budowlana-1159-m2-ID45Ani.html"/>
        <s v="https://www.otodom.pl/oferta/rezerwacja-szukasz-mieszkania-zobacz-oferte-33-m-ID45c3v.html"/>
        <s v="https://www.otodom.pl/oferta/doskonala-dzialka-wszystkie-media-1954-m2-ID475JK.html"/>
        <s v="https://www.otodom.pl/oferta/szukasz-ciszy-i-spokoju-tutaj-je-znajdziesz-ID471sr.html"/>
        <s v="https://www.otodom.pl/oferta/dom-rozna-dzialalnosc-540-m2-gniezno-ID44J6I.html"/>
        <s v="https://www.otodom.pl/oferta/ciekawy-lokal-uzytkowy-137-m2-grodzisk-wlkp-ID44fru.html"/>
        <s v="https://www.clasificadosonline.com/m/DetailMobile.asp?ID=4470638&amp;Sec=1"/>
        <s v="https://www.clasificadosonline.com"/>
        <s v="https://youtu.be/Z486x0Bxycs"/>
        <s v="https://totalcommercial.com/listings/58049?where%5Buser.id%5D=16932&amp;territory=41&amp;propertyType=all"/>
        <s v="https://totalcommercial.com/listings/58680?where%5Buser.id%5D=16932&amp;territory=41&amp;propertyType=all"/>
        <s v="https://totalcommercial.com/listings/58678?where%5Buser.id%5D=16932&amp;territory=41&amp;propertyType=all"/>
        <s v="https://totalcommercial.com/listings/56471?where%5Buser.id%5D=16932&amp;territory=41&amp;propertyType=all"/>
        <s v="https://www.clasificadosonline.com/m/PartnerListingM.asp?ID=32172&amp;CID=1&amp;fbclid=IwAR27qNW_vh-raLkl4kKFNNlwJ6a_fjncdD1fg0--C0b00vVWe_RQ_kM-SPM"/>
        <s v="https://www.clasificadosonline.com/m/DetailMobile.asp?ID=4355449&amp;Sec=1"/>
        <s v="https://totalcommercial.com/listings/56470?where%5Buser.id%5D=16932&amp;territory=41&amp;propertyType=all"/>
        <s v="https://totalcommercial.com/listings/57928?where%5Buser.id%5D=16932&amp;territory=41&amp;propertyType=all"/>
        <s v="https://www.youtube.com/channel/UCsqw_nSeqpRESZOLEbvt2zw/videos"/>
        <s v="https://www.property24.com/property-values/634-lansdowne-road/buckingham/cape-town/western-cape/qr7hi3foiexynjvkzoys6d247mitf5dxa7wl6552ulmksd655zebo6xvnm3xdluecmkjlywvr5djo"/>
        <s v="https://g.co/kgs/NsPRhw"/>
        <s v="https://www.todocoleccion.net/postales-cataluna/barcelona-salon-reino-testigos-jehova-sin-circular~x61024339"/>
        <s v="https://www.svt.se/nyheter/lokalt/vasterbotten/jehovas-vittnen-vill-salja-hus-till-kommunen"/>
        <s v="http://www.lindalen.nu/uncategorized/tybo-koper-rikets-sal/?fbclid=IwAR0xiDvTVQiR3W6AZI-XUJVSXeCOvPxOTKBt4sifPnvTDMv1EpErIEKO7Mo"/>
        <s v="https://www.bering.ch/referenzen/wohnen/wohnuberbauung-ulmenweg-45-thun"/>
        <s v="https://www.philiptweedie.com/property-detail/"/>
        <s v="https://nethouseprices.com/house-prices/street-details-sale/80e1aa98f5227bf8e0536c04a8c00bf2/kingdom%20hall%20of%20jehovahs%20witnesses%20grove%20road,%20windsor,%20sl4%201jq/2019"/>
        <s v="https://www.onthemarket.com/details/4656073/"/>
        <s v="https://ibsaproperty.com/houses/bakers-lane/"/>
        <s v="https://www.acorngroup.co.uk/commercial/property-sales/leisure-institution-corporate-asset-services-for-sale-in-pioneer-place-featherbed-lane-croydon/42866"/>
        <s v="https://www.onthemarket.com/details/5535442/"/>
        <s v="https://www.zoopla.co.uk/property/51-paddington-road/portsmouth/po2-0du/18637160"/>
        <s v="http://po33-1qg.postcodeuk.online/11636095/brading-road-kingdom-hall/"/>
        <s v="https://www.acorngroup.co.uk/commercial/property-sales/leisure-institution-for-sale-in-kingdom-hall-cedar-terrace-road-sevenoaks-kent/42830"/>
        <s v="https://www.rightmove.co.uk/commercial-property-for-sale/property-90393209.html"/>
        <s v="https://www.google.com/maps/place/156+woodburn+road,+carrickfergus+Carrickfergus/@54.7319601,-5.8494076,3a,75y,208.17h,90t/data=!3m4!1e1!3m2!1sRMSmwb0fzpT0PypKeWndvA!2e0!4m2!3m1!1s0x4861a1629b7d1bd3:0x3f946b6a8ee6861d?sa=X&amp;ved=2ahUKEwj8kIXCj9zoAhVQRhUIHQO"/>
        <s v="https://www.zoopla.co.uk/property/25-windmill-road/thame/ox9-2dr/32875445"/>
        <s v="https://www.commercialpropertyplace.co.uk/properties/506453/"/>
        <s v="https://themovemarket.com/tools/propertyprices/kingdom-hall-of-jehovahs-witnesses-bridge-street-stourbridge-dudley-west-midlands-dy8-5yx"/>
        <s v="https://beta.charitycommission.gov.uk/charity-details/?regid=1066136&amp;subid=0"/>
        <s v="https://images1.loopnet.com/d2/HPnmwpLblxDyP2qRJZ27F416tM3MLiWyf2l9_icdXIU/document.pdf"/>
        <s v="https://www.astleys.net/commercial/properties/kingdom-hall-roman-road-neath-west-glamorgan/"/>
        <s v="https://www.andrew-grant.co.uk/properties/12464620/sales"/>
        <s v="https://media.onthemarket.com/properties/5635916/685401394/document-0.pdf"/>
        <s v="https://www.philiptweedie.com/property-detail/?prop=9633"/>
        <s v="https://www.rightmove.co.uk/commercial-property-for-sale/property-88308047.html"/>
        <s v="https://propertylink.estatesgazette.com/property-details/6550543-kingdom-hall-68-idle-road-bradford-bd2-4nh"/>
        <s v="https://ibsaproperty.com/properties/st-johns/37-grace-bartlett-gardens/"/>
        <s v="https://ibsaproperty.com/properties/st-johns/39-grace-bartlett-gardens/"/>
        <s v="https://ibsaproperty.com/properties/st-johns/41-grace-bartlett-gardens/"/>
        <s v="https://ibsaproperty.com/properties/st-johns/43-grace-bartlett-gardens/"/>
        <s v="https://ibsaproperty.com/properties/st-johns/45-grace-bartlett-gardens/"/>
        <s v="https://ibsaproperty.com/properties/st-johns/47-grace-bartlett-gardens/"/>
        <s v="https://ibsaproperty.com/properties/st-johns/49-grace-bartlett-gardens/"/>
        <s v="https://ibsaproperty.com/properties/st-johns/51-grace-bartlett-gardens/"/>
        <s v="https://ibsaproperty.com/properties/st-johns/53-grace-bartlett-gardens/"/>
        <s v="https://ibsaproperty.com/properties/st-johns/55-grace-bartlett-gardens/"/>
        <s v="https://ibsaproperty.com/properties/st-johns/57-grace-bartlett-gardens/"/>
        <s v="https://ibsaproperty.com/properties/st-johns/59-grace-bartlett-gardens/"/>
        <s v="https://ibsaproperty.com/properties/st-johns/61-grace-bartlett-gardens/"/>
        <s v="https://ibsaproperty.com/properties/st-johns/63-grace-bartlett-gardens/"/>
        <s v="https://ibsaproperty.com/properties/st-johns/49-mary-munnion-quarter/"/>
        <s v="https://ibsaproperty.com/properties/st-johns/51-mary-munnion-quarter/"/>
        <s v="https://ibsaproperty.com/properties/st-johns/53-mary-munnion-quarter/"/>
        <s v="https://ibsaproperty.com/properties/st-johns/55-mary-munnion-quarter/"/>
        <s v="https://ibsaproperty.com/properties/park-homes/park-home-7/"/>
        <s v="https://ibsaproperty.com/properties/park-homes/park-home-12/"/>
        <s v="https://ibsaproperty.com/properties/park-homes/park-home-14/"/>
        <s v="https://ibsaproperty.com/properties/park-homes/park-home-21/"/>
        <s v="https://www.streetlist.co.uk/ch/ch5/ch5-4/tuscan-way"/>
        <s v="https://www.onthemarket.com/details/3593019/"/>
        <s v="https://themovemarket.com/tools/propertyprices/77-stourbridge-road-dudley-west-midlands-dy1-2dh"/>
        <s v="https://www.google.com.au/maps/search/Kingdom+hall+47+Laburnum+Grove,+Halton,+Runcorn+WA7+5EU,+UK/@53.3282783,-2.7220342,146m/data=!3m1!1e3?hl=en-GB"/>
        <s v="https://www.ryder-dutton.co.uk/properties/12485180/sales/COM170029"/>
        <s v="https://www.novaloca.com/office-space/for-sale/kingston-upon-thames/the-kingdom-hall-29a-alexandra-road/155484"/>
        <s v="https://www.richardbaddeley.co.uk/wp-content/uploads/2014/01/FOR-SALE-KINGDOM-HALL.pdf"/>
        <s v="https://ibsaproperty.com/properties/individual-apartments/buttermere-court/apartment-1/"/>
        <s v="https://ibsaproperty.com/properties/individual-apartments/ullswater-court/apartment-1/"/>
        <s v="https://ibsaproperty.com/properties/individual-apartments/buttermere-court/apartment-2/"/>
        <s v="https://ibsaproperty.com/properties/individual-apartments/ullswater-court/apartment-2/"/>
        <s v="https://ibsaproperty.com/properties/individual-apartments/buttermere-court/apartment-3/"/>
        <s v="https://ibsaproperty.com/properties/individual-apartments/ullswater-court/apartment-3/"/>
        <s v="https://ibsaproperty.com/properties/individual-apartments/buttermere-court/apartment-4/"/>
        <s v="https://ibsaproperty.com/properties/individual-apartments/ullswater-court/apartment-4/"/>
        <s v="https://ibsaproperty.com/properties/individual-apartments/buttermere-court/apartment-5/"/>
        <s v="https://ibsaproperty.com/properties/individual-apartments/ullswater-court/apartment-5/"/>
        <s v="https://ibsaproperty.com/properties/individual-apartments/buttermere-court/apartment-6/"/>
        <s v="https://ibsaproperty.com/properties/individual-apartments/ullswater-court/apartment-6/"/>
        <s v="https://ibsaproperty.com/properties/individual-apartments/ullswater-court/apartment-7/"/>
        <s v="https://ibsaproperty.com/properties/individual-apartments/ullswater-court/apartment-8/"/>
        <s v="https://ibsaproperty.com/properties/individual-apartments/ullswater-court/apartment-9/"/>
        <s v="https://ibsaproperty.com/houses/chenies/"/>
        <s v="https://ibsaproperty.com/properties/conf-centre-and-open-field/"/>
        <s v="https://www.houser.co.uk/flat-21,-coniston-court,-5-langstone-way,-london-nw7-1gp-p4430808"/>
        <s v="https://ibsaproperty.com/houses/elbury/"/>
        <s v="https://www.zoopla.co.uk/property/1-elstree-way/borehamwood/wd6-1rn/30392271"/>
        <s v="https://www.zoopla.co.uk/property/hadleigh/the-ridgeway/london/nw7-1rp/17263507"/>
        <s v="https://ibsaproperty.com/properties/apartments/harrogate-court/"/>
        <s v="https://ibsaproperty.com/properties/ibsa-house/"/>
        <s v="https://ibsaproperty.com/houses/landfall/"/>
        <s v="https://ibsaproperty.com/properties/apartments/lexington-court/"/>
        <s v="https://ibsaproperty.com/properties/apartments/richmond-court/"/>
        <s v="https://ibsaproperty.com/houses/ridgetop/"/>
        <s v="https://ibsaproperty.com/properties/apartments/tadworth-court/"/>
        <s v="https://ibsaproperty.com/houses/no-1-the-ridgeway/"/>
        <s v="https://www.rightmove.co.uk/house-prices/detailMatching.html?prop=46956714&amp;sale=6477646&amp;country=england"/>
        <s v="https://ibsaproperty.com/properties/watchtower-house/"/>
        <s v="https://ibsaproperty.com/properties/apartments/whitby-court/"/>
        <s v="https://www.fhp.co.uk/properties/former-kingdom-hall-redcliffe-road"/>
        <s v="https://ibsaproperty.com/houses/lowood-house/"/>
        <s v="https://nethouseprices.com/house-prices/street-details-sale/6b32222cffed01f1e0536c04a8c0d2c8/59%20bridge%20street,%20morpeth,%20ne61%201pq/2018"/>
        <s v="https://www.realla.co.uk/details/16532523"/>
        <s v="https://www.housepricesintheuk.co.uk/h/KINGDOM+HALL-STONYFLAT+BANK-PRUDHOE-NE42+5EP"/>
        <s v="https://www.zoopla.co.uk/property/29-church-street/runcorn/wa7-1lx/29187290"/>
        <s v="https://www.bernardgordon.co.uk/property/detached-d1-meeting-hall-with-parking-freehold-for-sale-stevenage-sg2/"/>
        <s v="https://nethouseprices.com/house-prices/street-details-sale/5f54b81e3d6f2b45e0536b04a8c01fb0/kingdom%20hall%20lickhill%20road,%20stourport-on-severn,%20dy13%208sa/2017"/>
        <s v="https://www.onthemarket.com/details/4601620/"/>
        <s v="https://www.rightmove.co.uk/commercial-property-for-sale/property-83757497.html"/>
        <s v="https://www.realtor.com/realestateandhomes-detail/1311-Kiana-Ln_Kenai_AK_99611_M97424-25164"/>
        <s v="https://www.google.com/maps/place/700+Fulton+Ave,+Birmingham,+AL+35217/@33.572065,-86.7822517,3a,75y,6.22h,79.54t/data=!3m7!1e1!3m5!1sj0DLopz_3Y3bUi9fLSBfJw!2e0!5s20110801T000000!7i13312!8i6656!4m5!3m4!1s0x88891b2a7722ec29:0x3a78f066fdc6b7f5!8m2!3d33.5722"/>
        <s v="https://www.greateralabamamls.com/commercial-for-sale/110-KINGDOM-HALL-LN-Dora-AL-35062-271309935"/>
        <s v="https://www.manta.com/c/mbn2ln8/7th-day-christian-fellowship"/>
        <s v="http://soldbyplatinum.com/homes-for-sale-details/4602-US-HIGHWAY-80-PHENIX-CITY-AL-36869/145251/532/"/>
        <s v="https://www.realtytrac.com/property/al/vestavia-hills/35216/1929-canyon-rd/197999537/"/>
        <s v="https://www.realtor.com/realestateandhomes-detail/630-Owen-St_Ashdown_AR_71822_M86780-63597"/>
        <s v="https://www.google.com/maps/place/1367+AR-95,+Clinton,+AR+72031/@35.5939512,-92.4822367,3a,37.5y,189.67h,80.83t/data=!3m6!1e1!3m4!1s9cVPI1qh9SGey4zG1YrJ7Q!2e0!7i13312!8i6656!4m5!3m4!1s0x87cdf5a2c649cc39:0xf9a3a7e3b4ca8691!8m2!3d35.5942638!4d-92.4816184"/>
        <s v="https://www.realtor.com/realestateandhomes-detail/402-W-Pierce-St_Crossett_AR_71635_M79318-71734"/>
        <s v="https://www.zillow.com/homedetails/3330-Main-El-Dorado-AR-71730/2086929181_zpid/"/>
        <s v="https://www.realtor.com/realestateandhomes-detail/706-Xavier-St_Fort-Smith_AR_72901_M86768-53540?fbclid=IwAR3CCtb1d7YiRtaqsDwDLg-hB0HGQLWJ8kg407OO48VdGNodgP3htUNROg4"/>
        <s v="https://www.movoto.com/fort-smith-ar/3509-johnson-st-fort-smith-ar-72904/pid_ulhonmbs8g/"/>
        <s v="https://www.xome.com/realestate/208-5th-ave-sw-gravette-ar-72736-7270994"/>
        <s v="https://www.xome.com/realestate/1000-nix-rd-little-rock-ar-72211-8820405"/>
        <s v="https://www.redfin.com/AR/Lonoke/718-Church-St-72086/home/81459782"/>
        <s v="https://www.google.com/maps/place/9625+N+Hwy+71,+Mountainburg,+AR+72946/@35.5759023,-94.1973073,3a,75y,357.79h,97.82t/data=!3m6!1e1!3m4!1s-165MH1lPn5os89EHEav-w!2e0!7i13312!8i6656!4m5!3m4!1s0x87cbc67ece9c44b5:0x462391dc9e5b77f6!8m2!3d35.5768021!4d-94.1971"/>
        <s v="https://www.xome.com/realestate/2723-eastline-rd-searcy-ar-72143-9362202"/>
        <s v="https://www.realtytrac.com/property/ar/white-hall/71602/5601-cheatham-ave/236404095/"/>
        <s v="https://www.realtytrac.com/property/az/apache-junction/85120/10701-e-boulder-dr/144447551/"/>
        <s v="https://www.realtor.com/realestateandhomes-detail/19211-E-Abbott-St_Black-Canyon-City_AZ_85324_M16168-53094"/>
        <s v="https://www.google.com/maps/place/401+E+Clanton+Ave,+Buckeye,+AZ+85326/@33.3680795,-112.5861329,3a,75y,177.3h,90t/data=!3m6!1e1!3m4!1sF2LiN7EPlrGTBAFz4MhTyA!2e0!7i13312!8i6656!4m5!3m4!1s0x872b3492cf15f2e5:0x193f5bface8110de!8m2!3d33.3678765!4d-112.5860863"/>
        <s v="https://www.coldwellbankerhomes.com/az/coolidge/300-w-palo-verde-ave/pid_26862679/?fbclid=IwAR3Z4UoB4lyw4jqO4sTRyTTI2tO0XhrFXBYuKJKeyE9w6fZ7ILL1wKmWdBo"/>
        <s v="https://www.xome.com/realestate/5521-s-mckinney-ave-globe-az-85501-4123180"/>
        <s v="https://www.coldwellbankerhomes.com/az/holbrook/300-hermosa-dr/pid_30332432/"/>
        <s v="https://www.xome.com/realestate/14600-n-black-canyon-hwy-phoenix-az-85053-4926823"/>
        <s v="https://www.realtytrac.com/property/az/phoenix/85040/4215-s-12th-st/159206717/"/>
        <s v="https://www.zillow.com/homedetails/6933-E-Horizon-Ln-Prescott-Valley-AZ-86314/2090168061_zpid/"/>
        <s v="https://www.coldwellbankerhomes.com/az/sedona/100-northview-rd/pid_31654369/"/>
        <s v="https://tucson.com/lifestyles/faith-and-values/a-buddhist-first/article_89701a54-41e1-5711-a2c9-39718f64d5af.html"/>
        <s v="https://www.realtytrac.com/property/ca/bakersfield/93305/1631-lake-st/40160059/"/>
        <s v="https://www.redfin.com/CA/Bakersfield/5702-Pioneer-Dr-93306/home/60504956"/>
        <s v="https://www.google.com/maps/@35.3897574,-118.9828889,3a,75y,129.08h,86.76t/data=!3m6!1e1!3m4!1si6CvKQlL3Co5SUBYsBWsJA!2e0!7i13312!8i6656"/>
        <s v="https://www.loopnet.com/Listing/275-N-Helm-Ave-Fresno-CA/13503145/"/>
        <s v="https://www.waterboards.ca.gov/drinking_water/programs/documents/ddwem/dwp%20enforcement%20actions/Placer/2019/01_61_19C_006_3106491_MB.pdf"/>
        <s v="https://www.realtytrac.com/property/ca/holtville/92250/825-e-5th-st/157390788/"/>
        <s v="https://www.mlslistings.com/property/ml81703019/16769-farley-rd-los-gatos-ca-95032/8884933"/>
        <s v="https://www.mlslistings.com/property/ml81685442/811-bay-rd-menlo-park-ca-94025/8713375"/>
        <s v="https://www.realtor.com/realestateandhomes-detail/3161-Oro-Bangor-Hwy_Oroville_CA_95966_M28584-28834"/>
        <s v="https://www.coldwellbankerhomes.com/ca/pacific-grove/1100-sunset-dr/pid_27083176/"/>
        <s v="https://www.redfin.com/CA/San-Diego/4312-Rialto-St-92107/home/18327823"/>
        <s v="https://www.zillow.com/homedetails/2606-S-Josephine-St-Denver-CO-80210/2092159230_zpid/"/>
        <s v="https://www.realtor.com/realestateandhomes-detail/555-S-Depew-St_Lakewood_CO_80226_M29219-25782"/>
        <s v="https://www.realtor.com/realestateandhomes-detail/1805-S-Sheridan-Blvd_Lakewood_CO_80232_M10994-10897"/>
        <s v="https://www.loopnet.com/Listing/4355-Los-Ranchitos-Dr-Peyton-CO/18798190/"/>
        <s v="https://www.recolorado.com/Listing/239572668-151082055/625-north-polk-avenue-walsenburg-co-81089/"/>
        <s v="https://www.coldwellbankerhomes.com/ct/milford/494-milford-point-rd/pid_29107932/"/>
        <s v="https://www.realtytrac.com/property/ct/new-britain/06053/232-slater-rd/202112341/"/>
        <s v="https://www.coldwellbankerhomes.com/ct/montville/5-herschler-road/pid_20626760/"/>
        <s v="https://www.google.com/maps/uv?hl=en&amp;pb=!1s0x89e808361186038b:0x430dc230d6ff71b6!3m1!7e115!4s//geo0.ggpht.com/cbk?panoid%3Do4HsHzpIaT7slbutMxy7Xw%26output%3Dthumbnail%26cb_client%3Dsearch.gws-prod/local-details-getcard.gps%26thumb%3D2%26yaw%3D289.9428%26p"/>
        <s v="https://www.exitrealestategallery.com/homes/3860-Fl-16/GREEN-COVE-SPRINGS/FL/32043/102446940/"/>
        <s v="https://clustrmaps.com/a/3cdk26/"/>
        <s v="https://www.loopnet.com/Listing/4468-US-Highway-129-Live-Oak-FL/19079219/"/>
        <s v="https://www.xome.com/commercial-for-sale/918-Winton-Ave-Pensacola-FL-32507-308653742"/>
        <s v="https://www.realliving.com/commercial-for-sale/9844-SKEWLEE-ROAD-Thonotosassa-FL-33592-283947547"/>
        <s v="http://www.lpcsoutheast.com/properties/4444-n-shallowford-rd/"/>
        <s v="https://www.zillow.com/homedetails/276-Eatonton-Hwy-Gray-GA-31032/247190360_zpid/"/>
        <s v="https://www.zillow.com/homedetails/971-Cove-Rd-Jasper-GA-30143/2133970304_zpid/"/>
        <s v="https://www.enrichedrealestate.com/9901-SIMPSON-RD-JONESBORO-GA-30238/InstitutionalSpecialPurposeBuildings/Religious/Id=187110395&amp;searchId=205c057c-676c-4449-8948-5117e979e5ab"/>
        <s v="https://www.georgiacommercialrealestate.net/featured-listings/111-walnut-street-montezuma-georgia-31063"/>
        <s v="https://www.realtytrac.com/property/hi/honolulu/96821/5156-kalanianaole-hwy/199935755/"/>
        <s v="https://www.xome.com/realestate/1700-naoma-dr-sw-cedar-rapids-ia-52404-25449428"/>
        <s v="https://www.realtor.com/realestateandhomes-detail/605-S-Iowa-St_Charles-City_IA_50616_M87950-87308"/>
        <s v="https://www.trulia.com/p/ia/clinton/3704-n-3rd-st-clinton-ia-52732--2100809462#lil-streetViewTab"/>
        <s v="https://www.realtytrac.com/property/ia/davenport/52806/3956-n-pine-st/212725461/"/>
        <s v="https://www.realtytrac.com/property/ia/dyersville/52040/927-7th-ave-se/199644383/"/>
        <s v="https://www.xome.com/realestate/395-e-6th-st-garner-ia-50438-41612761"/>
        <s v="https://www.xome.com/realestate/207-park-ave-guthrie-center-ia-50115-149765261"/>
        <s v="https://www.exitrealtyhawkeye.com/real-estate/Iowa-Regional/Commercial-Sale/property/5495300-1301-Hawkeye-Avenue-Harlan-IA-51537/"/>
        <s v="https://www.google.com/maps/place/909+N+6th+Ave+E,+Newton,+IA+50208/@41.7041722,-93.0419195,3a,75y,175.13h,90t/data=!3m6!1e1!3m4!1sry5DrIXji99wcEw9fTGfXQ!2e0!7i13312!8i6656!4m5!3m4!1s0x87ef1cc16f402f2f:0xd1e6dbe4848b0d72!8m2!3d41.7039543!4d-93.0418937"/>
        <s v="https://www.zillow.com/homedetails/2420-Iowa-St-Perry-IA-50220/296649958_zpid/"/>
        <s v="https://www.mystatemls.com/property/210_Argus_Road-Shenandoah-IA-51601/10557807/"/>
        <s v="https://www.realtytrac.com/property/ia/sioux-city/51103/2929-w-4th-st/186957408/"/>
        <s v="https://www.realtor.com/realestateandhomes-detail/315-N-5th-St_Osburn_ID_83849_M99088-33217"/>
        <s v="https://www.trulia.com/p/il/anna/208-center-st-anna-il-62906--2059543794"/>
        <s v="https://www.coldwellbankerhomes.com/il/barrington/950-west-northwest-hwy/pid_33282185/?fbclid=IwAR0k96u_Iz2OfmR1o9kgjoqC7edIGu75DRMdYQ2J0FeXY1wqw02C4cHYaxU"/>
        <s v="https://www.google.com/maps/place/5566+Lincoln+Hwy+Rd,+Charleston,+IL+61920/@39.457089,-88.199577,3a,75y,135.52h,82.68t/data=!3m6!1e1!3m4!1snwVUb3vJb6AWuzA67XSVVw!2e0!7i16384!8i8192!4m5!3m4!1s0x887302dc7b846c11:0x1240db99d5dac291!8m2!3d39.4565795!4d-88.20"/>
        <s v="https://www.realtytrac.com/property/il/chicago/60827/935-e-134th-st/2541638/"/>
        <s v="https://www.realtytrac.com/property/il/chicago/60637/1401-e-marquette-rd/175898406/"/>
        <s v="https://www.realtytrac.com/property/il/chicago/60623/4101-w-31st-st/144619566/"/>
        <s v="https://www.coldwellbankerhomes.com/il/chicago/1515-west-wolfram-street/pid_23792681/"/>
        <s v="https://www.loopnet.com/Listing/18345877/906-E-Prairie-St-Jerseyville-IL/"/>
        <s v="https://www.xome.com/realestate/809-e-main-st-knoxville-il-61448-37796035"/>
        <s v="https://www.movoto.com/harvey-il/117-e-154th-st-harvey-il-60426-461_08737097/"/>
        <s v="https://www.viewegrealestate.com/real-estate/3322-moultrie-avenue-mattoon-il-61938/6182114/59032167"/>
        <s v="https://www.realtor.com/realestateandhomes-detail/192-E-US-Highway-52_Mendota_IL_61342_M82899-29054"/>
        <s v="https://www.ruhlhomes.com/for-sale/homes/7002-john-deere-parkway-moline-il-61265-7039735-825008/"/>
        <s v="https://youtu.be/nftXrd28acI"/>
        <s v="https://www.realtor.com/realestateandhomes-detail/615-Oak-St_Rockford_IL_61104_M86781-06702"/>
        <s v="https://www.xome.com/realestate/1121-chatham-rd-springfield-il-62704-38008432"/>
        <s v="https://www.realtor.com/realestateandhomes-detail/4150-Sandhill-Rd_Springfield_IL_62702_M71838-19049"/>
        <s v="https://www.xome.com/commercial-for-sale/425-W-North-Street-Watseka-IL-60970-330883931"/>
        <s v="https://www.xome.com/realestate/224-linton-st-wood-river-il-62095-36965167"/>
        <s v="https://www.realtor.com/realestateandhomes-detail/1020-W-Ensley-Ave_Auburn_IN_46706_M95091-82475"/>
        <s v="https://www.talktotucker.com/homes/500-n-oak-street-n-columbia-city-in-46725/256319"/>
        <s v="https://www.zillow.com/homedetails/6811-E-21st-St-Indianapolis-IN-46219/2118235952_zpid/"/>
        <s v="https://www.indystar.com/story/news/2016/08/19/megachurch-launches-downtown-location-27m-building-purchase/88963678/"/>
        <s v="https://www.coldwellbankerhomes.com/in/knox/4190-e-216-s/pid_26154560/"/>
        <s v="https://www.xome.com/commercial-for-sale/420-Eastern-Avenue-Shelbyville-IN-46176-317241730"/>
        <s v="http://pinebranchrealestate.com/residential/601s5th.html"/>
        <s v="https://www.enrichedrealestate.com/109-S-WALNUT-ST-EUREKA-KS-67045/InstitutionalSpecialPurposeBuildings/Religious/Id=195786014&amp;searchId=18338616-6c7a-486f-87dc-facd76dd0307"/>
        <s v="https://www.redfin.com/KY/Louisville/3406-Algonquin-Pkwy-40211/home/144863827"/>
        <s v="https://www.rhr.com/ListingDetails/660-Park-View-Lane-Olive-Hill-KY-41164/1714279"/>
        <s v="https://www.sibcycline.com/Listing/NKY/523452/2185-Hwy-127-S-Owenton-KY-40359"/>
        <s v="https://www.xome.com/homes-for-sale/2101-Rocky-Drive-Paris-KY-49095-324310670"/>
        <s v="https://www.loopnet.com/Listing/5433-Taylor-Mill-Rd-Taylor-Mill-KY/16112840/"/>
        <s v="https://www.xome.com/realestate/205-humes-ridge-rd-williamstown-ky-41097-52021416"/>
        <s v="https://www.latter-blum.com/p/810-College-Road-Eunice-LA-70535/dmgid_136454512"/>
        <s v="https://www.realtytrac.com/property/la/franklinton/70438/2124-washington-st/215809669/"/>
        <s v="https://www.loopnet.com/property/214-enterprise-dr-houma-la-70360/22109-41829/"/>
        <s v="https://www.google.com/maps/place/1310+S+Laurel+St,+Metairie,+LA+70003/@29.9748624,-90.2189185,3a,75y,313.73h,90t/data=!3m6!1e1!3m4!1sIby1SIQtHD5Q5-0ZuyRrlw!2e0!7i13312!8i6656!4m5!3m4!1s0x8620b0a9edc43ad3:0xcbd7a9bce02f976d!8m2!3d29.9750341!4d-90.2191188"/>
        <s v="https://www.manta.com/c/mtr10d6/abundant-life-internationalministry-inc"/>
        <s v="https://www.zillow.com/homedetails/3709-General-Taylor-St-New-Orleans-LA-70125/84478095_zpid/"/>
        <s v="https://www.redfin.com/LA/New-Orleans/3536-St-Ferdinand-St-70126/home/85458973"/>
        <s v="https://www.latter-blum.com/p/2360-Lafiton-Ln-Port-Allen-LA-70767/dmgid_135772045"/>
        <s v="https://www.xome.com/realestate/41150-highway-42-prairieville-la-70769-51874573"/>
        <s v="https://www.realtor.com/realestateandhomes-detail/4251-Hwy-1146-Hwy_Rosepine_LA_71459_M76614-90079"/>
        <s v="https://www.google.com/maps/place/2401+S+Service+Rd+W,+Ruston,+LA+71270/@32.5397777,-92.6683659,3a,75y,166.9h,89.42t/data=!3m6!1e1!3m4!1s_3xNAh6CK2JLodL3UHGwrQ!2e0!7i13312!8i6656!4m5!3m4!1s0x8631c5a4cd183acd:0x4b2a186c8afce2e3!8m2!3d32.5393462!4d-92.66848"/>
        <s v="http://ldh.la.gov/index.cfm/directory/detail/6366/catid/114"/>
        <s v="https://www.realliving.com/commercial-for-sale/1001-Victory-Drive-Westwego-LA-70094-207474447"/>
        <s v="https://www.redfin.com/MA/Billerica/310-River-St-01821/home/167088284"/>
        <s v="https://www.richhaen.com/real-estate/136-saint-botolph-st-boston-ma-02115/71130636/692468"/>
        <s v="https://www.realtytrac.com/property/ma/greenfield/01301/805-bernardston-rd/189224281/"/>
        <s v="https://www.realtor.com/realestateandhomes-detail/Harwich_MA_02645_M47709-29134"/>
        <s v="https://www.realtor.com/realestateandhomes-detail/4-Memorial-Dr_Leicester_MA_01524_M40393-97768"/>
        <s v="https://www.realtor.com/realestateandhomes-detail/255-Furnace-St_Marshfield_MA_02050_M49075-43238"/>
        <s v="https://jbarrettrealty.com/listing/72180933/412-mohawk-trail-shelburne-ma-01370/"/>
        <s v="https://www.coldwellbankerhomes.com/ma/southbridge/700-worcester-st/pid_29702832/"/>
        <s v="https://www.realtor.com/realestateandhomes-detail/187-Stuart-St_Springfield_MA_01119_M37900-04846"/>
        <s v="https://www.xome.com/realestate/1984-westfield-st-west-springfield-ma-01089-146829317"/>
        <s v="https://www.longandfoster.com/homes-for-sale/3627-Greenmount-Avenue-Baltimore-MD-21218-254525915"/>
        <s v="https://www.google.com/maps/place/1107+N+Broadway,+Baltimore,+MD+21213/@39.3033691,-76.5944776,3a,75y,50.06h,86.53t/data=!3m6!1e1!3m4!1swul3QmKHqhZgFPZhgZ4kJQ!2e0!7i13312!8i6656!4m5!3m4!1s0x89c804602d3e9a2d:0x736b6f9233ff5250!8m2!3d39.3034611!4d-76.594164"/>
        <s v="https://www.google.com/maps/place/609+Governors+Ave,+Cambridge,+MD+21613/@38.5553968,-76.0859252,3a,75y,358.57h,90t/data=!3m6!1e1!3m4!1sX_UqaA4D9E97Uvox1uRyKQ!2e0!7i16384!8i8192!4m5!3m4!1s0x89b835f6268972c9:0x273f6bf679608080!8m2!3d38.555471!4d-76.085901"/>
        <s v="https://www.coldwellbankerhomes.com/md/capitol-heights/6107-seat-pleasant-drive/pid_24577238/"/>
        <s v="https://www.trulia.com/p/md/catonsville/1928-powers-ln-catonsville-md-21228--2127062052"/>
        <s v="https://www.zillow.com/homedetails/10300-Country-Club-Rd-NE-Cumberland-MD-21502/2139458548_zpid/"/>
        <s v="https://www.coldwellbankerhomes.com/md/laurel/9805-lyon-avenue/pid_20494740/"/>
        <s v="https://www.longandfoster.com/homes-for-sale/1400-Weyburn-Road-Rosedale-MD-21237-253485447"/>
        <s v="https://www.enrichedrealestate.com/7843-JERSEY-RD-SALISBURY-MD-21801/InstitutionalSpecialPurposeBuildings/Religious/Id=188968512&amp;searchId=8368b33e-1f98-4fda-bfa0-ddd3bb4d20d9"/>
        <s v="https://www.google.com/maps/place/36+Eastern+Ave,+Augusta,+ME+04330/@44.3102263,-69.7679309,3a,75y,182.74h,89.44t/data=!3m6!1e1!3m4!1seSxPaREIcupmlD6OOwmNiA!2e0!7i16384!8i8192!4m5!3m4!1s0x4cb20132e62b3ef1:0xdb20a0bf786b7229!8m2!3d44.309959!4d-69.7679645"/>
        <s v="https://www.rizzomattson.com/listing/1343882/157-ossipee-trail-limington-me-04049/"/>
        <s v="https://www.redfin.com/ME/Sanford/21-Malcolm-Ave-04073/home/148419172"/>
        <s v="https://www.loopnet.com/Listing/329-E-Main-St-Addison-MI/15916233/"/>
        <s v="https://www.coldwellbankerhomes.com/chicago-milwaukee/107-linwood-avenue/pid_24854431/"/>
        <s v="https://www.realtytrac.com/property/mi/battle-creek/49014/7085-e-dr-n/218949137/"/>
        <s v="https://www.realtytrac.com/property/mi/battle-creek/49037/115-goodale-ave-e/218540108/"/>
        <s v="https://mls.carwm.com/listing/30557420/6001-W-River-Dr-NE-Belmont-MI-49306"/>
        <s v="https://www.zillow.com/homedetails/7033-Hammond-Ave-SE-Caledonia-MI-49316/115825346_zpid/"/>
        <s v="https://www.redfin.com/MI/Caro/1659-E-Deckerville-Rd-48723/home/102411517"/>
        <s v="https://www.realtor.com/realestateandhomes-detail/23247-Hospital-St_Cassopolis_MI_49031_M48617-84020"/>
        <s v="https://www.homesnap.com/MI/Battle-Creek/7085-East-Drive-N"/>
        <s v="https://www.realtytrac.com/property/mi/china/48054/6177-fred-w-moore-hwy/205979170/"/>
        <s v="http://www.remaxcommercial.com/?p=findahome.asp&amp;listing=true&amp;mlsid=3002&amp;mlsnumber=18022703"/>
        <s v="https://www.redfin.com/MI/Coloma/3231-Boyer-Rd-49038/home/147603929"/>
        <s v="https://www.zillow.com/homedetails/7184-Davison-Rd-Davison-MI-48423/2084814103_zpid/"/>
        <s v="https://www.trulia.com/p/mi/dearborn/8805-tireman-ave-dearborn-mi-48126--2050133085"/>
        <s v="https://www.realtytrac.com/property/mi/detroit/48212/17950-charest-st/38395166/"/>
        <s v="https://www.zillow.com/homedetails/11249-E-7-Mile-Rd-Detroit-MI-48234/2134576350_zpid/"/>
        <s v="https://www.trulia.com/p/mi/detroit/9300-e-forest-ave-detroit-mi-48214--2099313027"/>
        <s v="https://www.zillow.com/homedetails/4900-Fernwood-St-Detroit-MI-48204/2086244458_zpid/"/>
        <s v="https://www.zillow.com/homedetails/14100-Puritan-St-Detroit-MI-48227/2082922712_zpid/"/>
        <s v="https://www.zillow.com/homedetails/5220-Roosevelt-St-Detroit-MI-48208/121179247_zpid/"/>
        <s v="https://www.zillow.com/homedetails/5933-16th-St-Detroit-MI-48208/96307523_zpid/"/>
        <s v="https://www.realtytrac.com/property/mi/detroit/48215/12601-e-canfield-st/153982198/"/>
        <s v="https://www.realtytrac.com/property/mi/detroit/48238/10700-puritan-st/172533943/"/>
        <s v="https://www.xome.com/commercial-for-sale/9754-Lansing-Durand-MI-48429-303853656"/>
        <s v="https://www.realtor.com/realestateandhomes-detail/8972-Holmes-Hwy_Eaton-Rapids_MI_48827_M44418-63187"/>
        <s v="https://www.zillow.com/homedetails/26170-Leonard-St-Flat-Rock-MI-48134/88185185_zpid/"/>
        <s v="https://www.realtor.com/realestateandhomes-detail/5149-Bray-Rd_Flint_MI_48505_M47044-03649"/>
        <s v="https://www.coldwellbankerhomes.com/mi/fremont/4040-w-72nd-street/pid_3342803/"/>
        <s v="https://dmartin.remax-michigan.com/ListingDetails/13130-Benton-Grand-Ledge-MI-48837/235345"/>
        <s v="https://www.realtor.com/realestateandhomes-detail/4453-Fruit-Ridge-Ave-NW_Grand-Rapids_MI_49544_M32731-78105"/>
        <s v="https://www.zillow.com/homedetails/2306-Mckee-Ave-SW-Grand-Rapids-MI-49503/23835024_zpid/"/>
        <s v="http://www.remaxcommercial.com/?p=findahome.asp&amp;listing=true&amp;mlsid=3126&amp;mlsnumber=201805187"/>
        <s v="https://www.howardhanna.com/Property/Detail/15800-Graves-Gregory-MI-48137/DetroitMI/2200013408"/>
        <s v="https://www.xome.com/commercial-for-sale/4093-N-M-65-Hale-MI-48739-303008156"/>
        <s v="https://www.coldwellbankerhomes.com/mi/harrison/951-e-clarence-rd/pid_32707446/"/>
        <s v="https://www.xome.com/commercial-for-sale/3041-John-Daly-St-Inkster-MI-48141-303853324"/>
        <s v="https://www.realtor.com/realestateandhomes-detail/3530-Douglas-Ave_Kalamazoo_MI_49004_M33708-94478"/>
        <s v="https://www.realtor.com/realestateandhomes-detail/4200-Nazareth-Rd_Kalamazoo_MI_49004_M43346-06275"/>
        <s v="https://www.realtor.com/realestateandhomes-detail/56-S-French-Rd_Lake-Leelanau_MI_49653_M35253-50439"/>
        <s v="https://www.trulia.com/p/mi/lakeview/7450-townline-rd-lakeview-mi-48850--2051772146"/>
        <s v="https://www.realtor.com/realestateandhomes-detail/5290-Churchill-Rd_Leslie_MI_49251_M30450-46764"/>
        <s v="https://www.google.com/maps/@42.9662047,-85.3558645,3a,37.5y,319.61h,93.96t/data=!3m6!1e1!3m4!1sAolOrPAUV-BPD6KFEzEEyA!2e0!7i16384!8i8192"/>
        <s v="https://www.trulia.com/p/mi/manistee/331-4th-st-manistee-mi-49660--2052588656"/>
        <s v="https://www.coldwellbankerhomes.com/mi/marshall/508-homer-rd/pid_29786247/"/>
        <s v="https://www.realtor.com/realestateandhomes-detail/5358-W-Taylor-Rd_Mears_MI_49436_M30014-59734"/>
        <s v="https://www.google.com/maps/@45.1404755,-87.6116699,3a,75y,201.5h,88.69t/data=!3m7!1e1!3m5!1smArKDck4BzDsnmzBjfTTdA!2e0!6s%2F%2Fgeo1.ggpht.com%2Fcbk%3Fpanoid%3DmArKDck4BzDsnmzBjfTTdA%26output%3Dthumbnail%26cb_client%3Dmaps_sv.tactile.gps%26thumb%3D2%26w%3"/>
        <s v="https://www.realtor.com/realestateandhomes-detail/338-E-Lewis-Ave_Milan_MI_48160_M44624-24635"/>
        <s v="https://www.zillow.com/homedetails/13000-Morenci-Rd-Morenci-MI-49256/68218421_zpid/"/>
        <s v="https://www.coldwellbankerhomes.com/mi/muskegon/3086-e-apple-ave/pid_34742357/"/>
        <s v="https://www.realtor.com/realestateandhomes-detail/2875-Whitehall-Rd_Muskegon_MI_49445_M99568-74602?cid=psr_profile_listings_lat_lng"/>
        <s v="https://www.howardhanna.com/Property/Detail/10074-Lake-Road-Forest-Township-MI-48463/DetroitMI/219025717"/>
        <s v="https://www.zillow.com/homedetails/36023-County-Road-358-Paw-Paw-MI-49079/74819762_zpid/"/>
        <s v="https://www.weichert.com/61778209/"/>
        <s v="https://www.xome.com/commercial-for-sale/14392-S-M-52-Perry-Twp-MI-48872-267824243"/>
        <s v="https://www.xome.com/commercial-for-sale/317-N-Water-Street-Pinconning-MI-48650-310042037"/>
        <s v="https://www.realtor.com/realestateandhomes-detail/1670-Nantucket-Rd_Plymouth_MI_48170_M48322-93303"/>
        <s v="https://www.xome.com/realestate/14550-30th-ave-remus-mi-49340-60797899"/>
        <s v="https://www.realtytrac.com/property/mi/riverview/48193/18637-ray-st/38468884/"/>
        <s v="https://www.howardhanna.com/Property/Detail/16675-Frazho-Road-Roseville-MI-48066/DetroitMISold/219014653"/>
        <s v="https://www.realtytrac.com/property/mi/saginaw/48601/2211-s-outer-dr/172327685/"/>
        <s v="https://www.realtor.com/realestateandhomes-detail/11750-Fergus-Rd_Saint-Charles_MI_48655_M95092-03610"/>
        <s v="https://homefinder.com/home/qqZw0Er/N4077-Mackinac-Trl-Saint-Ignace-MI-49781"/>
        <s v="https://www.howardhanna.com/Property/Detail/11355-Reeck-Road-Southgate-MI-48195/DetroitMISold/218120091"/>
        <s v="https://www.zillow.com/homedetails/1480-Indian-Lakes-Rd-NE-Sparta-MI-49345/2091476995_zpid/"/>
        <s v="https://www.zillow.com/homedetails/255-S-Melita-Rd-Sterling-MI-48659/2087969175_zpid/"/>
        <s v="https://www.remax.com/mi/sterling-heights/home-details/13399-metropolitan-pkwy-sterling-heights-mi-48312/4377730130093516909"/>
        <s v="https://www.xome.com/realestate/13108-broadway-rd-three-rivers-mi-49093-62478171"/>
        <s v="https://www.xome.com/commercial-for-sale/11829-Old-27-Vanderbilt-MI-49795-327607671"/>
        <s v="https://www.coldwellbankerhomes.com/mi/vicksburg/15029-s-24th-st/pid_29970639/"/>
        <s v="https://www.coldwellbankerhomes.com/chicago-milwaukee/690-s-campbell-road/pid_5995060/"/>
        <s v="https://www.zillow.com/homedetails/501-Eugene-St-Ypsilanti-MI-48198/80873345_zpid/"/>
        <s v="https://www.grandforksherald.com/news/2060663-jehovahs-witnesses-building-sale"/>
        <s v="https://www.redfin.com/MN/Faribault/2618-Park-Ave-NW-55021/home/100208608"/>
        <s v="http://www16.co.hennepin.mn.us/pins/addrresult.jsp"/>
        <s v="https://www.charliegerken.com/listings/view/15037-farm-road-cassville-mo-60142970.html"/>
        <s v="https://www.officespace.com/mo/jefferson-city/1771636-821-magnolia-pl"/>
        <s v="https://www.coldwellbankerhomes.com/mo/manchester/115-baxter-rd/pid_29854967/"/>
        <s v="https://www.crye-leike.com/1303-hwy-178-east/new%20albany/ms/38652/tid-tupelo-mlsnum-19-2798"/>
        <s v="https://www.loopnet.com/Listing/926-Smelter-Ave-NW-Great-Falls-MT/18182941/"/>
        <s v="https://www.realliving.com/greater-montana/commercial-for-sale/address-not-available-Saint-Ignatius-MT-59865-282245487"/>
        <s v="https://www.realtor.com/realestateandhomes-detail/635-Liberty-Rd_High-Point_NC_27263_M53508-00554"/>
        <s v="https://www.zillow.com/homedetails/635-Liberty-Rd-High-Point-NC-27263/2085408070_zpid/"/>
        <s v="https://www.loopnet.com/Listing/116-McCoy-Rd-Reidsville-NC/18800162/"/>
        <s v="https://www.loopnet.com/Listing/16878634/2237-Sherwood-Avenue-Tarboro-NC/"/>
        <s v="https://www.coldwellbankerhomes.com/nj/bradley-beach/28-main-st/pid_35800439/"/>
        <s v="https://www.coldwellbankerhomes.com/nj/delaware-township/160-ferry-rd/pid_29911232/"/>
        <s v="https://www.realtor.com/realestateandhomes-detail/416-Darmstadt-Ave_Egg-Harbor-City_NJ_08215_M99773-52249"/>
        <s v="https://www.realtytrac.com/property/nj/jersey-city/07305/116-martin-luther-king-jr-dr/201889244/"/>
        <s v="https://www.yelp.com/biz/jehovahs-witness-north-congregation-jersey-city"/>
        <s v="https://www.coldwellbankerhomes.com/nj/mantua/212-taylor-avenue/pid_20597542/"/>
        <s v="https://www.coldwellbankerhomes.com/nj/burlington/821-jacksonville-mt-holly-road/pid_24684647/"/>
        <s v="https://www.coldwellbankerhomes.com/nj/new-brunswick/121-french-st/pid_21774376/"/>
        <s v="https://www.coldwellbankerhomes.com/nj/verona/42-personette-avenue/pid_22642608/"/>
        <s v="https://www.loopnet.com/Listing/16107071/8812-2nd-Street-SW-Albuquerque-NM/"/>
        <s v="https://www.realtytrac.com/property/nm/albuquerque/87105/1700-57th-st-nw/192939590/"/>
        <s v="https://www.weichert.com/62823521/"/>
        <s v="https://www.google.com/maps/uv?hl=en&amp;pb=!1s0x873b8fc790984575%3A0x920bd7081dfe79c8!3m1!7e115!4shttps%3A%2F%2Flh5.googleusercontent.com%2Fp%2FAF1QipOgtEhaG4fxfb9EiSxRJM15NHvQzulWjEiXYvRu%3Dw173-h175-n-k-no!5s800%20w.%2030th%20st%20farmington%20nm%20for%20s"/>
        <s v="https://www.zillow.com/homedetails/312-Unser-Blvd-NE-Rio-Rancho-NM-87124/113481165_zpid/"/>
        <s v="https://www.zillow.com/homedetails/1800-W-Bland-St-Roswell-NM-88203/2099041134_zpid/"/>
        <s v="https://www.realtor.com/realestateandhomes-detail/106-Alpine-Village-Rd_Ruidoso_NM_88345_M28634-44694"/>
        <s v="https://www.trulia.com/p/nm/santa-fe/418-w-san-mateo-rd-santa-fe-nm-87505--2115163111"/>
        <s v="https://www.realtytrac.com/property/nv/fallon/89406/2705-schurz-hwy/34800119/"/>
        <s v="https://www.washoecounty.us/assessor/cama/?parid=008-193-10&amp;Card=1"/>
        <s v="https://www.realtytrac.com/property/ny/amityville/11701/450-bayview-ave/170767165/"/>
        <s v="https://www.propertyshark.com/mason/Property/67379/625-Leland-Ave-Bronx-NY-10473/"/>
        <s v="https://www.realtytrac.com/property/ny/bronx/10457/1820-monroe-ave/168601812/"/>
        <s v="https://jwleaks.files.wordpress.com/2019/01/watchtower-brooklyn-real-estate-transfers-2004-2018.pdf"/>
        <s v="https://www.realtytrac.com/property/ny/brooklyn/11213/1666-bergen-st/168059084/"/>
        <s v="https://www.realtyhop.com/building/9024-ditmas-avenue-brooklyn-ny-11236"/>
        <s v="https://apartable.com/buildings/80-willow-street-brooklyn"/>
        <s v="https://apartable.com/buildings/86-willow-st-brooklyn-ny"/>
        <s v="https://www.google.com/maps/place/4+Medford+Pl,+Buffalo,+NY+14216/@42.9570532,-78.8663441,3a,75y,283.54h,90t/data=!3m6!1e1!3m4!1smwyMbG-TQ3tH4a6g9gO_Jw!2e0!7i13312!8i6656!4m5!3m4!1s0x89d36d3c2a0bec67:0xdcd6b57935ee6fee!8m2!3d42.9571025!4d-78.8665954"/>
        <s v="https://www.zillow.com/homedetails/500-Southside-Pkwy-Buffalo-NY-14210/2136551625_zpid/"/>
        <s v="https://loopnet.com/listing/1040-owego-rd-candor-ny/14662304/"/>
        <s v="https://www.howardhanna.com/Property/Detail/85-Beaver-Road-Chili-NY-14428/RochesterNYSold/R1132814"/>
        <s v="https://www.redfin.com/NY/Clarence-Center/5595-Shimerville-Rd-14032/home/77286896"/>
        <s v="https://www.xome.com/commercial-for-sale/78-Wheeler-Ave-Cortland-NY-13045-306682976"/>
        <s v="https://www.xome.com/commercial-for-sale/2240-Western-Turnpike-Duanesburg-TOV-NY-12056-194754158"/>
        <s v="https://www.neighborwho.com/NY/Ghent/1351-State-Route-66/"/>
        <s v="https://www.movoto.com/gouverneur-ny/532-hull-rd-gouverneur-ny-13642/pid_1tdkdjdrjh/"/>
        <s v="https://www.howardhanna.com/Property/Detail/190-Sunset-Drive-Hamburg-NY-14075/BuffaloNYSold/B1085639"/>
        <s v="https://www.coldwellbankerhomes.com/ny/haverstraw/49-broadway/pid_20625779/"/>
        <s v="https://www.redfin.com/NY/Holbrook/140-Smith-Ave-11741/home/21459323"/>
        <s v="https://www.realtytrac.com/property/ny/inwood/11096/306-morris-ave/169424546/"/>
        <s v="https://www.realtytrac.com/property/ny/johnson-city/13790/1364-reynolds-rd/151769200/"/>
        <s v="https://www.xome.com/realestate/2802-state-highway-29-johnstown-ny-12095-75373801"/>
        <s v="https://www.realtor.com/realestateandhomes-detail/5808-Mondore-Dr_La-Fayette_NY_13084_M41247-24117"/>
        <s v="https://www.zillow.com/homedetails/10-S-Fisher-Rd-West-Seneca-NY-14218/2138517137_zpid/"/>
        <s v="https://www.realtytrac.com/property/ny/lindenhurst/11757/450-e-john-st/169978708/"/>
        <s v="https://www.realtytrac.com/property/ny/long-island-city/11101/3746-crescent-st/170521120/"/>
        <s v="https://www.realtor.com/realestateandhomes-detail/9047-Nys-Route-16_Machias_NY_14101_M35743-52647#photo1"/>
        <s v="https://www.realtytrac.com/property/ny/manhasset/11030/24-locust-st/38078947/"/>
        <s v="http://www.signaturepremier.com/agent/property?ListingName=2130127"/>
        <s v="https://www.point2homes.com/US/Commercial-For-Sale/NY/Ontario-County/Greater-Naples/8751-State-Route-21/88257215.html"/>
        <s v="https://www.howardhanna.com/Property/Detail/6456-Charlotteville-Road-Newfane-NY-14108/BuffaloNY/B1159844"/>
        <s v="https://www.realtytrac.com/property/ny/niagara-falls/14303/359-14th-st/146791852/"/>
        <s v="https://www.realtytrac.com/property/ny/ogdensburg/13669/5442-state-highway-812/169964404/"/>
        <s v="https://www.redfin.com/NY/Olean/2275-Dugan-Rd-14760/home/92795690"/>
        <s v="https://www.howardhanna.com/Property/Detail/2610-State-Route-12-Paris-NY-13456/SyracuseNYsold/1801005"/>
        <s v="https://www.xome.com/realestate/2913-culver-rd-rochester-ny-14622-72520371"/>
        <s v="https://www.google.com/maps/place/Kingdom+Hall+of+Jehovah's+Witnesses/@43.0544031,-79.2763816,8z/data=!4m8!1m2!2m1!1swheatland+ny+kingdom+hall+of+jehovah's+witnesses!3m4!1s0x89d150cf213573bd:0x37027b5ca4f2c07b!8m2!3d43.0120434!4d-77.827884"/>
        <s v="https://www.realtytrac.com/property/ny/syracuse/13206/135-walter-dr/32737565/"/>
        <s v="https://www.google.com/maps/place/1631+Kemble+St,+Utica,+NY+13501/@43.0870995,-75.2474852,3a,75y,118.36h,90t/data=!3m6!1e1!3m4!1s83JLW0PkO-4Ln9_Zhww1jQ!2e0!7i13312!8i6656!4m5!3m4!1s0x89d946ccd8043d45:0xb8a9e02194e78c3c!8m2!3d43.0869773!4d-75.2471541"/>
        <s v="https://www.coldwellbankerprime.com/p/7758-Maple-Road-Van-Buren-NY-13027/dmgid_135632415"/>
        <s v="https://exitrealty.com/listing/nyjlborS1188308/24650_Hinds__Pamelia__NY_13601/"/>
        <s v="https://www.xome.com/realestate/342-belmont-ave-west-babylon-ny-11704-135790739"/>
        <s v="https://www.howardhanna.com/Property/Detail/7605-Plank-Academy-Street-Westfield-NY-14787/RochesterNY/R1266565"/>
        <s v="https://www.xome.com/realestate/6710-main-st-williamsville-ny-14221-77497190?hv=1"/>
        <s v="https://www.realtor.com/realestateandhomes-detail/12353-Tyrrell-St_Wolcott_NY_14590_M38214-13799"/>
        <s v="https://www.loopnet.com/Listing/365-Palmer-Rd-Yonkers-NY/13191566/"/>
        <s v="https://www.zillow.com/homedetails/927-N-Portage-Path-Akron-OH-44303/2087922775_zpid/"/>
        <s v="https://www.xome.com/commercial-for-sale/1814-S-Main-Street-Akron-OH-44301-237206223"/>
        <s v="https://www.realliving.com/commercial-for-sale/62700-Barnesville-Hendrysburg-Road-Barnesville-OH-43713-212685644"/>
        <s v="https://www.realliving.com/commercial-for-sale/1406-Broadway-Avenue-Bedford-OH-44146-220424400"/>
        <s v="https://www.howardhanna.com/Property/Detail/3158-Carrell-Road-Bucyrus-OH-44820/MansfieldOHSold/9038832"/>
        <s v="https://www.zillow.com/homedetails/710-Sanderson-Ave-Campbell-OH-44405/192357639_zpid/"/>
        <s v="https://www.realtytrac.com/property/oh/canton/44707/1319-sherrick-rd-se/182009659/"/>
        <s v="https://www.realtor.com/realestateandhomes-detail/4700-Whipple-Ave-NW_Canton_OH_44718_M42032-76079"/>
        <s v="https://www.realtor.com/realestateandhomes-detail/10509-County-Road-1_Chesapeake_OH_45619_M99898-81841"/>
        <s v="https://www.kaufmanrealty.com/p/11550-Chillicothe-Road-Chesterland-OH-44026/dmgid_136544746"/>
        <s v="https://www.coldwellbankerhomes.com/oh/green-township/5629-bridgetown-rd/pid_28443096/"/>
        <s v="https://www.coldwellbankerhomes.com/oh/anderson-township/7577-forest-rd/pid_27015162/"/>
        <s v="https://www.realtor.com/realestateandhomes-detail/831-Linden-Ave_Cincinnati_OH_45215_M98780-55555"/>
        <s v="https://www.xome.com/commercial-for-sale/8046-Broadview-Road-Broadview-Heights-OH-44147-307632193"/>
        <s v="https://www.realtytrac.com/property/oh/cleveland/44105/3949-e-131st-st/33468256/"/>
        <s v="https://www.howardhanna.com/Property/Detail/1914-E-75th-Street-Cleveland-OH-44103/NorthernOHSold/4056073"/>
        <s v="https://www.realtytrac.com/property/oh/lakewood/44107/17526-madison-ave/36977470/"/>
        <s v="https://www.realtor.com/realestateandhomes-detail/1406-Broadway-Ave_Bedford_OH_44146_M92380-94216"/>
        <s v="https://www.realtor.com/realestateandhomes-detail/27503-Dunford-Rd_Westlake_OH_44145_M37890-78182"/>
        <s v="https://www.realtor.com/realestateandhomes-detail/3135-E-116th-St_Cleveland_OH_44120_M90778-27623"/>
        <s v="https://www.zillow.com/homedetails/6087-Ridge-Rd-Parma-OH-44129/2112566967_zpid/"/>
        <s v="https://www.howardhanna.com/Property/Detail/2505-Lockbourne-Road-Columbus-OH-43207/NorthernOHSold/4066547"/>
        <s v="https://www.realtor.com/realestateandhomes-detail/5636-Burkhardt-Rd_Dayton_OH_45431_M93621-23241"/>
        <s v="https://www.commercialexchange.com/listing/23945458/2700-N-Gettysburg-Ave-Dayton-OH-45406"/>
        <s v="https://www.realtytrac.com/property/oh/defiance/43512/1757-s-clinton-st/213453520/"/>
        <s v="https://www.howardhanna.com/Property/Detail/44715-Telegraph-Road-Elyria-OH-44035/NorthernOHSold/3979926"/>
        <s v="https://www.xome.com/realestate/533-n-us-highway-23-fostoria-oh-44830-83160996"/>
        <s v="https://www.xome.com/realestate/1350-shannon-rd-girard-oh-44420-84438041"/>
        <s v="https://www.xome.com/commercial-for-sale/5629-Bridgetown-Road-Green-Twp-OH-45248-296929156"/>
        <s v="https://www.xome.com/commercial-for-sale/4371-Grove-City-Road-Grove-City-OH-43123-307643925"/>
        <s v="https://www.realtytrac.com/property/oh/hamilton/45013/534-ross-ave/32929746/"/>
        <s v="https://www.howardhanna.com/Property/Detail/1051-Sugar-Grove-Road-SE-Lancaster-OH-43130/NorthernOHSold/4054991"/>
        <s v="https://www.xome.com/realestate/4030-allentown-rd-lima-oh-45807-15248885"/>
        <s v="https://www.realtytrac.com/property/oh/lima/45804/1401-s-sugar-st/183397560/"/>
        <s v="https://www.zillow.com/homedetails/2340-Crehore-St-Lorain-OH-44052/2086690949_zpid/"/>
        <s v="https://www.realtytrac.com/property/oh/loudonville/44842/916-n-union-st/237068730/"/>
        <s v="https://www.realtytrac.com/property/oh/louisville/44641/4446-meese-rd/242724115/"/>
        <s v="https://www.howardhanna.com/Property/Detail/1650-S-Main-Mansfield-OH-44907/MansfieldOHSold/9042948"/>
        <s v="https://www.realtor.com/realestateandhomes-detail/2177-Nave-Rd-SE_Massillon_OH_44646_M41361-18019"/>
        <s v="https://www.estately.com/listings/info/7490-coon-club-rd"/>
        <s v="https://www.realtor.com/realestateandhomes-detail/9025-Bellefontaine-Rd_New-Carlisle_OH_45344_M95506-88813"/>
        <s v="https://www.realliving.com/commercial-for-sale/13323-Springfield-Road-New-Springfield-OH-44443-271248217"/>
        <s v="https://www.realtytrac.com/property/oh/newark/43055/35-gainor-ave/46692061/"/>
        <s v="https://www.realtor.com/realestateandhomes-detail/1240-Granville-Rd_Newark_OH_43055_M39613-26382"/>
        <s v="https://www.howardhanna.com/Property/Detail/1745-Walker-Lake-Road-Ontario-OH-44906/NorthernOHSold/4012281"/>
        <s v="https://www.xome.com/realestate/1305-e-main-st-ottawa-oh-45875-80951546"/>
        <s v="https://www.coldwellbankerhomes.com/oh/oxford/4398-oxford-riley-rd/pid_26972703/"/>
        <s v="https://www.realliving.com/commercial-for-sale/1000-Mentor-Avenue-Painesville-OH-44077-264341468"/>
        <s v="https://www.zillow.com/homedetails/9603-Bunker-Hill-Rd-SW-Port-Washington-OH-43837/58733832_zpid/"/>
        <s v="https://www.realtor.com/realestateandhomes-detail/105-S-Saint-Clairsville-Rd_Port-Washington_OH_43837_M37432-06957"/>
        <s v="https://www.realtor.com/realestateandhomes-detail/155-Clark-St_Powhatan-Point_OH_43942_M47578-24514#photo5"/>
        <s v="http://www.remaxcommercial.com/?p=findahome.asp&amp;listing=true&amp;mlsid=2977&amp;mlsnumber=372970441"/>
        <s v="http://www.remaxcommercial.com/?p=findahome.asp&amp;listing=true&amp;mlsid=2977&amp;mlsnumber=393876498"/>
        <s v="https://www.howardhanna.com/Property/Detail/608-King-Street-Sandusky-OH-44870/MansfieldOHSold/9045241"/>
        <s v="https://www.estately.com/listings/info/4355-greenwich-rd"/>
        <s v="https://www.xome.com/realestate/7085-state-route-61-n-shelby-oh-44875-88974387"/>
        <s v="https://www.xome.com/realestate/2105-kenton-st-springfield-oh-45505-144192029"/>
        <s v="https://www.realtor.com/realestateandhomes-detail/3924-Oneida-St_Stow_OH_44224_M31569-98393"/>
        <s v="https://www.homesnap.com/OH/Whitehouse/13923-Sherman-White-Road"/>
        <s v="https://www.xome.com/realestate/7465-peters-rd-tipp-city-oh-45371-88710057"/>
        <s v="https://www.xome.com/realestate/3445-e-manhattan-blvd-toledo-oh-43611-77210688"/>
        <s v="https://www.beenverified.com/property/oh/toledo/bancroft-st-residences/"/>
        <s v="https://www.publicdatausa.com/chris-house"/>
        <s v="https://www.coldwellbankerishome.com/for-sale/465-w-main-st-trotwood-oh-45426/140-191586"/>
        <s v="https://www.realliving.com/commercial-for-sale/7041-State-Route-800-SE-Uhrichsville-OH-44683-252542877"/>
        <s v="https://www.howardhanna.com/Property/Detail/10819-W-State-Hwy-53-Upper-Sandusky-OH-43351/ToledoOHSold/H140159"/>
        <s v="https://www.sibcycline.com/Listing/WRIST/416497/916-W-Plum-St-Wapakoneta-OH-45895"/>
        <s v="https://www.xome.com/commercial-for-sale/3555-Tod-Avenue-NW-Warren-OH-44485-313119169"/>
        <s v="https://www.xome.com/commercial-for-sale/1963-Ewalt-Warren-OH-44483-307530806"/>
        <s v="https://www.realtor.com/realestateandhomes-detail/514-York-St_North-Bloomfield_OH_44450_M35925-55058"/>
        <s v="https://www.howardhanna.com/Property/Detail/13923-Sherman-White-Road-Whitehouse-OH-43571/ToledoOH/6049854"/>
        <s v="https://www.howardhanna.com/Property/Detail/4095-Kirtland-Rd-Willoughby-OH-44094/NorthernOHSold/3974246"/>
        <s v="https://www.sibcycline.com/Listing/CIN/1606402/831-Linden-Ave-Woodlawn-OH-45215"/>
        <s v="https://www.howardhanna.com/Property/Detail/12-East-Dewey-Ave-Youngstown-OH-44507/NorthernOHSold/3977511"/>
        <s v="https://www.realtytrac.com/property/ok/guthrie/73044/315-n-20th-st/208918450/"/>
        <s v="https://www.loopnet.com/Listing/502-W-Apache-St-Lindsay-OK/16532880/"/>
        <s v="https://www.xome.com/realestate/402-e-boundary-st-perry-ok-73077-80983456"/>
        <s v="https://www.realtor.com/realestateandhomes-detail/12615-E-Admiral-Pl_Tulsa_OK_74116_M75774-58558"/>
        <s v="https://www.realtytrac.com/property/or/aurora/97002/13533-ehlen-rd-ne/198371358/"/>
        <s v="https://www.zillow.com/homedetails/539-Division-Ave-Drain-OR-97435/2080049168_zpid/"/>
        <s v="https://harcourtsusa.com/Property/2509704/19243079/1113-Lamb-ST"/>
        <s v="https://www.estately.com/listings/info/704-patrol-st--1"/>
        <s v="https://www.realtytrac.com/property/or/rogue-river/97537/181-w-evans-creek-rd/187419351/"/>
        <s v="https://www.estately.com/listings/info/1726-pine-st"/>
        <s v="https://www.loopnet.com/Listing/8221-Chestnut-St-Barto-PA/16846173/"/>
        <s v="https://www.coldwellbankerhomes.com/pa/bethel-park/5822-irishtown-rd/pid_31479192/"/>
        <s v="https://www.weichert.com/81091104/"/>
        <s v="https://www.zillow.com/homedetails/4842-Wexford-Run-Rd-Bradfordwoods-PA-15015/104362872_zpid/"/>
        <s v="https://www.google.com/maps/place/932+Mercer+Rd,+Butler,+PA+16001/@40.9031049,-79.9290048,3a,75y,88.32h,90t/data=!3m6!1e1!3m4!1sNzeARF2PBmJo01vOAFD1Tg!2e0!7i16384!8i8192!4m5!3m4!1s0x88337cb70ec0feff:0x3d11791205fda1b8!8m2!3d40.9031266!4d-79.9286051"/>
        <s v="https://www.google.com/maps/place/630+Lindia+Dr,+Chambersburg,+PA+17201/@39.9470131,-77.6744148,3a,75y,170.71h,87.03t/data=!3m6!1e1!3m4!1sDS7lK9i49fTuB8wgRYpqQA!2e0!7i13312!8i6656!4m5!3m4!1s0x89c99dc7bb1000ab:0xe10e93ea3d673cd2!8m2!3d39.9470452!4d-77.6745"/>
        <s v="https://www.realtor.com/realestateandhomes-detail/851-Elsinore-Pl_Chester_PA_19013_M34191-57726"/>
        <s v="https://www.coldwellbankerhomes.com/pa/cheswick/490-nixon-rd/pid_27539864/"/>
        <s v="https://www.xome.com/realestate/400-arnold-ave-clearfield-pa-16830-94555243"/>
        <s v="https://www.xome.com/realestate/140-barren-hill-rd-conshohocken-pa-19428-90820426"/>
        <s v="https://www.realtor.com/realestateandhomes-detail/Duryea_PA_18642_M39048-85994"/>
        <s v="https://www.google.com/maps/place/3411+Sullivan+Trail,+Easton,+PA+18040/@40.7380884,-75.2369759,3a,75y,65.36h,90t/data=!3m6!1e1!3m4!1sf585t0auUv3_bmXNmd2YpA!2e0!7i16384!8i8192!4m5!3m4!1s0x89c46eb005e31859:0xec3e598cf1bc16a5!8m2!3d40.7382058!4d-75.2366393"/>
        <s v="https://www.zillow.com/homedetails/620-West-Main-Elkland-PA-16920/2089083600_zpid/"/>
        <s v="https://www.zillow.com/homedetails/621-W-2nd-St-Erie-PA-16507/2118458836_zpid/"/>
        <s v="https://www.coldwellbankerhomes.com/pa/erwinna/987-river-rd/pid_28151521/"/>
        <s v="https://www.xome.com/realestate/469-w-state-st-hamburg-pa-19526-95395673"/>
        <s v="https://www.xome.com/commercial-for-sale/2550-Applebutter-Road-Lower-Saucon-Twp-PA-18055-303861025"/>
        <s v="https://www.zillow.com/homedetails/325-Thomas-Jersey-Shore-PA-17740/2088724506_zpid/"/>
        <s v="https://www.realtor.com/realestateandhomes-detail/404-Walters-Ave_Johnstown_PA_15904_M48363-97324"/>
        <s v="https://www.coldwellbankerhomes.com/pa/leet-township/194-ambridge-ave/pid_31185371/"/>
        <s v="https://www.zillow.com/homedetails/1431-Mercer-Grove-City-Rd-Mercer-PA-16137/125872519_zpid/"/>
        <s v="http://www.remaxcommercial.com/?p=findahome.asp&amp;listing=true&amp;mlsid=5605&amp;mlsnumber=1011376328"/>
        <s v="https://www.loopnet.com/Listing/17-E-4th-St-Northampton-PA/14803673/"/>
        <s v="https://www.google.com/maps/place/Jehovah's+Witnesses/@39.9352634,-75.1646317,15z/data=!4m5!3m4!1s0x0:0x997ab87b0c8d7d31!8m2!3d39.9352634!4d-75.1646317"/>
        <s v="https://www.realtytrac.com/property/pa/philadelphia/19132/2309-2313-n-broad-st-2313/178210008/"/>
        <s v="https://www.realtytrac.com/property/pa/philadelphia/19126/6719-ogontz-ave/178963428/"/>
        <s v="https://www.coldwellbankerhomes.com/pa/philadelphia/1254-56-point-breeze-avenue/pid_22024446/"/>
        <s v="https://www.realtor.com/realestateandhomes-detail/8233-Stenton-Ave_Philadelphia_PA_19150_M30325-12292"/>
        <s v="https://www.realtor.com/realestateandhomes-detail/307-W-Tabor-Rd_Philadelphia_PA_19120_M46422-35405"/>
        <s v="https://www.realtor.com/realestateandhomes-detail/2314-E-Allegheny-Ave_Philadelphia_PA_19134_M47520-73303"/>
        <s v="https://www.xome.com/realestate/2921-w-clearfield-st-philadelphia-pa-19132-91692658"/>
        <s v="https://megasupplypro.com/projects/1539-n-26th-street"/>
        <s v="https://www.realtor.com/realestateandhomes-detail/1462-Brookline-Blvd_Pittsburgh_PA_15226_M96212-46672"/>
        <s v="https://www.coldwellbankerhomes.com/pa/pittsburgh/7901-dollman-rd/pid_33503371/"/>
        <s v="https://www.realtytrac.com/property/pa/pittsburgh/15239/801-pierson-run-rd/179176672/"/>
        <s v="https://www.xome.com/realestate/433-w-mountain-rd-plymouth-pa-18651-146606805"/>
        <s v="https://www.realtor.com/realestateandhomes-detail/59-W-8th-St_Pottstown_PA_19464_M37774-53317"/>
        <s v="https://www.coldwellbankerhomes.com/pa/saxonburg-boro/1046-ekastown-rd/pid_34092740/"/>
        <s v="https://www.xome.com/realestate/62-pitney-st-sayre-pa-18840-92144573"/>
        <s v="https://www.xome.com/realestate/3450-w-college-ave-state-college-pa-16801-92264788"/>
        <s v="https://www.xome.com/realestate/521-schuylkill-ave-tamaqua-pa-18252-93804754"/>
        <s v="https://www.coldwellbankerhomes.com/central-pennsylvania/401-green-st/pid_33006975/"/>
        <s v="https://www.xome.com/realestate/3535-foster-rd-white-oak-pa-15131-93909306"/>
        <s v="https://www.google.com/maps/place/270+S+Belvidere+Ave,+York,+PA+17401/@39.9529838,-76.7430569,3a,75y,201.08h,93.8t/data=!3m6!1e1!3m4!1saiIY2oHuGHwgzYPgae_aLA!2e0!7i16384!8i8192!4m5!3m4!1s0x89c88c0791fae45b:0xf3c816411313ca1f!8m2!3d39.9530361!4d-76.7433577"/>
        <s v="https://www.realtor.com/realestateandhomes-detail/120-Warner-Dr_Columbia_SC_29223_M99251-86719"/>
        <s v="https://www.trulia.com/p/tn/cumberland-gap/1230-highway-63-cumberland-gap-tn-37724--2040432436"/>
        <s v="https://www.zillow.com/homedetails/626-W-Main-St-Fairfield-TX-75840/2089836751_zpid/"/>
        <s v="https://www.enrichedrealestate.com/11914-7Th-St-Houston-TX-77072/InstitutionalSpecialPurposeBuildings/Religious/Id=131253"/>
        <s v="https://www.movoto.com/houston-tx/4934-e-cruse-houston-tx-77016-403_12872524/"/>
        <s v="https://www.realtor.com/realestateandhomes-detail/23788-Fm-1314-Rd_Porter_TX_77365_M87217-89450"/>
        <s v="https://www.zillow.com/homedetails/550-E-Ashley-Rd-San-Antonio-TX-78221/102455157_zpid/"/>
        <s v="https://www.zillow.com/homedetails/224-Hobart-St-San-Antonio-TX-78237/102488560_zpid/"/>
        <s v="https://www.movoto.com/san-antonio-tx/4509-pleasanton-rd-san-antonio-tx-78221-401_1287465/"/>
        <s v="https://www.hairerealty.com/-/listing/AR-TBOR/100437/3003-Norton-Texarkana-TX-75503"/>
        <s v="https://www.realtor.com/realestateandhomes-detail/205-E-8th-St_Van-Horn_TX_79855_M83393-65246"/>
        <s v="https://www.xome.com/commercial-for-sale/1189-W-hwy-90-Other-TX-78962-326896366"/>
        <s v="https://www.google.com/maps/place/207+Bell+Dr,+Danville,+VA+24541/@36.5615633,-79.4169525,3a,75y,59.78h,78.41t/data=!3m8!1e1!3m6!1s3tmAXCUlznh4yPTUFJurBw!2e0!3e11!6s%2F%2Fgeo0.ggpht.com%2Fmaps%2Fphotothumb%2Ffd%2Fv1%3Fbpb%3DChEKD3NlYXJjaC5nd3MtcHJvZBJmCjg"/>
        <s v="https://www.realtytrac.com/property/va/danville/24540/300-terry-ave/214784472/"/>
        <s v="https://www.howardhanna.com/Property/Detail/7840-John-Clayton-Memorial-HWY-Gloucester-VA-23061/REIN/10313115"/>
        <s v="https://www.loopnet.com/Listing/131-Walton-Park-Ln-Midlothian-VA/19294114/"/>
        <s v="https://www.loopnet.com/Listing/4305-8th-St-Richmond-VA/19341151/"/>
        <s v="https://www.roanoke.com/business/real-estate-transfers-for-july/article_0950dab1-e023-5eca-8437-f379ccc5dfa3.html"/>
        <s v="https://www.redfin.com/WA/Arlington/44211-State-Rte-530-NE-98223/home/40429374"/>
        <s v="https://www.xome.com/realestate/5862-sunburst-ln-cashmere-wa-98815-15251839"/>
        <s v="https://www.realtytrac.com/property/wa/chehalis/98532/144-kennicott-rd/34149525/"/>
        <s v="https://www.zillow.com/homedetails/331-W-Morris-Rd-Coupeville-WA-98239/2079642623_zpid/?"/>
        <s v="https://www.realliving.com/commercial-for-sale/7053-N-Enterprise-Rd-Ferndale-WA-98248-289642602"/>
        <s v="https://www.realtor.com/realestateandhomes-detail/821-Coal-Creek-Rd_Longview_WA_98632_M13236-60645"/>
        <s v="https://www.xome.com/realestate/1112-s-jacob-miller-rd-port-townsend-wa-98368-122226408"/>
        <s v="https://www.xome.com/realestate/1339-s-clark-ave-republic-wa-99166-110882941"/>
        <s v="https://www.coldwellbankerbain.com/p/2214-N-56th-St-Seattle-WA-98103/dmgid_136615135"/>
        <s v="https://www.realtytrac.com/property/wa/seattle/98168/228-s-128th-st/33799512/"/>
        <s v="https://www.realtytrac.com/property/wa/seattle/98116/4409-sw-college-st/186024599/"/>
        <s v="https://www.xome.com/realestate/21-quail-meadow-ln-selah-wa-98942-112365068"/>
        <s v="https://www.google.com/maps/place/11912+E+Empire+Ave,+Spokane+Valley,+WA+99206/@47.6906703,-117.2452982,3a,75y,166.2h,90t/data=!3m6!1e1!3m4!1s__JIfVOan6Ox7NU5VskMwA!2e0!7i16384!8i8192!4m5!3m4!1s0x549e1ffdc4058d77:0xb4f577c2e4f1e80d!8m2!3d47.6904344!4d-117"/>
        <s v="https://www.google.com/maps/place/4249+E+Pratt+Ave,+Spokane,+WA+99202/@47.6466455,-117.347563,3a,75y,26.91h,90t/data=!3m6!1e1!3m4!1syK9EP8PxT6p6FPPlytOf3A!2e0!7i13312!8i6656!4m5!3m4!1s0x549e221b31a36de1:0x1ce39d4e048367c8!8m2!3d47.646899!4d-117.347337"/>
        <s v="https://www.realliving.com/homes-for-sale/9622-N-Stevens-St-Spokane-WA-99218-287732127"/>
        <s v="https://liverealestate.com/homes-for-sale-sold-details/15704-E-SPRAGUE-AVE-SPOKANE-VALLEY-WA-99037/201727041/220/"/>
        <s v="https://www.xome.com/realestate/345-n-11th-st-sunnyside-wa-98944-114618456"/>
        <s v="https://epip.co.pierce.wa.us/CFApps/atr/ePIP/sales.cfm?parcel=5575000090"/>
        <s v="https://www.coldwellbankerbain.com/p/122-Coppei-Ave-Waitsburg-WA-99361/dmgid_129301754"/>
        <s v="https://www.xome.com/commercial-for-sale/280-NW-Manor-Rd-Wapato-WA-98951-262261380"/>
        <s v="https://www.realtor.com/realestateandhomes-detail/1321-Methow-St_Wenatchee_WA_98801_M21295-85779"/>
        <s v="https://www.loopnet.com/Listing/17201537/2521-Mapleway-Rd-Yakima-WA/"/>
        <s v="https://www.xome.com/realestate/1614-mckinley-ave-yakima-wa-98902-112677819"/>
        <s v="https://www.xome.com/realestate/2506-w-mead-ave-yakima-wa-98902-111085515"/>
        <s v="https://www.realtor.com/realestateandhomes-detail/112-W-Nob-Hill-Blvd_Yakima_WA_98902_M91914-48057"/>
        <s v="https://www.realtor.com/realestateandhomes-detail/710-Center-St_Antigo_WI_54409_M78960-05237"/>
        <s v="https://www.coldwellbankerhomes.com/wi/hallie/4668-133rd-st/pid_29499124/"/>
        <s v="https://www.trulia.com/p/wi/cornell/1416-bridge-st-cornell-wi-54732--2055005712"/>
        <s v="https://www.google.com/maps/@44.4182466,-88.0772172,3a,75y,117.47h,87.1t/data=!3m7!1e1!3m5!1s29w8Av1T6yGx_P7NJG_Irg!2e0!5s20090901T000000!7i13312!8i6656"/>
        <s v="https://www.mapquest.com/us/wisconsin/kingdom-hall-of-jehovahs-witnesses-354764143"/>
        <s v="https://www.movoto.com/eland-wi/1086-state-highway-49-eland-wi-54427/pid_k28z0nmhqh/"/>
        <s v="https://www.xome.com/commercial-for-sale/W5696-Schmidt-Rd-Elkhorn-WI-53121-314864488"/>
        <s v="https://www.crexi.com/properties/254103/wisconsin-6767-hwy-38"/>
        <s v="https://www.coldwellbankerhomes.com/chicago-milwaukee/w20598-mckeeth-dr/pid_27942110/"/>
        <s v="https://www.zillow.com/homedetails/N120w21580-Freistadt-Germantown-WI-53022/2081540047_zpid/"/>
        <s v="https://www.coldwellbankerhomes.com/wi/glenwood-city/810-1st-st/pid_31167552/"/>
        <s v="https://www.realtor.com/realestateandhomes-detail/5075-S-43rd-St_Greenfield_WI_53220_M80371-54472"/>
        <s v="https://cornerstone.weichert.com/78227996/"/>
        <s v="https://www.realtor.com/realestateandhomes-detail/3059-Medco-Ct_La-Crosse_WI_54601_M70624-20764"/>
        <s v="https://www.loopnet.com/Listing/3214-Mannville-Ln-Marshfield-WI/16875229/"/>
        <s v="https://www.yellowpages.com/marshfield-wi/mip/park-view-pet-motel-548202135"/>
        <s v="https://www.google.com/maps/place/N3540+WI-58,+Mauston,+WI+53948/@43.7686881,-90.0774434,3a,75y,109.2h,88.8t/data=!3m6!1e1!3m4!1sX_Lib2BTSLLVZGXdIjlX8w!2e0!7i3328!8i1664!4m5!3m4!1s0x87fdfddf1758397b:0x3ff61df03054bdca!8m2!3d43.7683508!4d-90.0764225"/>
        <s v="https://www.atproperties.com/commercial/1195960/n48w14384-hampton-ave-menomonee-falls-wisconsin-53051-swi"/>
        <s v="https://www.realtytrac.com/property/wi/milwaukee/53212/3879-n-port-washington-rd/35134759/"/>
        <s v="https://www.realtor.com/realestateandhomes-detail/23648-County-Highway-Q_New-Auburn_WI_54757_M76338-60302"/>
        <s v="https://www.coldwellbankerhomes.com/wi/racine/3309-kearney-ave/pid_290893/"/>
        <s v="https://www.xome.com/commercial-for-sale/850-Clark-St-Reedsburg-WI-53959-297491195"/>
        <s v="https://www.coldwellbankerhomes.com/chicago-milwaukee/n4777-elm-st/pid_18132518/"/>
        <s v="https://www.xome.com/commercial-for-sale/51-Tower-Dr-Sun-Prairie-WI-53590-297490493"/>
        <s v="https://www.coldwellbankerhomes.com/chicago-milwaukee/603-faxon-st/pid_33507235/"/>
        <s v="https://www.coldwellbankerhomes.com/wi/tomah/18571-state-highway-131/pid_1325354/"/>
        <s v="https://www.coldwellbankerhomes.com/wi/two-rivers/2717-45th-st/pid_33821842/"/>
        <s v="https://www.trulia.com/p/wi/union-grove/14909-washington-ave-union-grove-wi-53182--2054112583"/>
        <s v="https://www.redfin.com/WI/Viroqua/720-Chicago-Ave-54665/home/57994974"/>
        <s v="https://www.loopnet.com/Listing/20058935/2005-Johnston-Dr-Manitowoc-WI/"/>
        <s v="https://www.loopnet.com/Listing/18104025/1719-N-3rd-Avenue-Wausau-WI/"/>
        <s v="https://www.xome.com/commercial-for-sale/439-Tallmansville-Road-Buckhannon-WV-26201-256176953"/>
        <s v="https://www.realtor.com/realestateandhomes-detail/1906-Rear-Route-60_Huntington_WV_25701_M44690-70474"/>
        <s v="https://www.realtor.com/realestateandhomes-detail/102-Flythe-St_Kingwood_WV_26537_M44222-90683"/>
        <s v="https://www.google.com/maps/place/135+Willywood+Ave,+Oak+Hill,+WV+25901/@37.9821028,-81.1360365,3a,75y,4.31h,83.97t/data=!3m6!1e1!3m4!1srDpYqKqnnRmpboEyBKrI6Q!2e0!7i13312!8i6656!4m5!3m4!1s0x884ebfd8aadaba19:0xdb2ee9b3c30372ab!8m2!3d37.9823026!4d-81.136197"/>
        <s v="https://www.trulia.com/p/wv/ripley/118-grand-central-ave-ripley-wv-25271--2023240118"/>
        <s v="https://www.zillow.com/homedetails/65-Old-Main-Plz-Saint-Albans-WV-25177/125182930_zpid/"/>
        <s v="http://www.remaxcommercial.com/?p=findahome.asp&amp;listing=true&amp;mlsid=3465&amp;mlsnumber=2020"/>
        <s v="https://www.zillow.com/homedetails/3176-Weir-Ave-Weirton-WV-26062/219401815_zpid/"/>
        <s v="https://www.freerehabcenters.org/details/healthways-inc-miracles-happen"/>
        <s v="https://reviews.birdeye.com/uti-united-states-inc-721608000"/>
        <s v="https://www.realtor.com/realestateandhomes-detail/1202-29th-St_Cody_WY_82414_M88426-78669"/>
        <s v="https://www.google.com/maps/place/808+North+St,+Cody,+WY+82414/@44.5296595,-109.0411241,3a,37.5y,12.22h,87.77t/data=!3m6!1e1!3m4!1s2_bOhDQz39tS0tMfk1V_rg!2e0!7i3328!8i1664!4m5!3m4!1s0x534c1eb087ecfe53:0x4b796271e97099ba!8m2!3d44.5300538!4d-109.0409282"/>
        <s v="https://www.google.com/maps/@42.7446028,-105.377871,3a,75y,194.39h,85.64t/data=!3m8!1e1!3m6!1sP5aT52bCg6W5A0NZhOQ4Jw!2e0!5s20110901T000000!6s%2F%2Fgeo3.ggpht.com%2Fcbk%3Fpanoid%3DP5aT52bCg6W5A0NZhOQ4Jw%26output%3Dthumbnail%26cb_client%3Dmaps_sv.tactile.gp"/>
        <s v="https://www.google.com/maps/place/2200+Greenway+Dr,+Gillette,+WY+82716/@44.3045515,-105.5316117,3a,75y,0.77h,90t/data=!3m7!1e1!3m5!1sDu2XvMcAOmsubDVOJIBFSg!2e0!6s%2F%2Fgeo0.ggpht.com%2Fcbk%3Fpanoid%3DDu2XvMcAOmsubDVOJIBFSg%26output%3Dthumbnail%26cb_client"/>
        <s v="https://www.realliving.com/commercial-for-sale/2180-W-Teton-Blvd-Green-River-WY-82935-292496140"/>
        <s v="https://www.xome.com/realestate/507-e-clark-st-laramie-wy-82072-119228580"/>
        <s v="https://www.realtor.com/realestateandhomes-detail/576-N-Ingalls-St_Powell_WY_82435_M84571-40848"/>
        <s v="https://www.beenverified.com/property/wy/powell/road-8-residences/"/>
      </sharedItems>
    </cacheField>
    <cacheField name="Comments" numFmtId="0">
      <sharedItems containsBlank="1">
        <m/>
        <s v="Sale Price Unknown - Private Treaty. Used Listing price as an estimate"/>
        <s v="Now a mosque"/>
        <s v="Some one told me the land was donated and that person who donated the land is no longer a JW.  I bet they are cranky."/>
        <s v="Notified via Gerry Hatrick"/>
        <s v="From Gerry Hatrick"/>
        <s v="Original listing price: $850,000 on 06 May 2019. Price updated on 01 July 2020."/>
        <s v="Buyer: 7th Day Adventist Church"/>
        <s v="From Lara's list"/>
        <s v="Sale amount provided by an inside contact."/>
        <s v="Purchased by caloundra congregation in 2013. I was an elder at the time in that congregation. We were waiting years for the society’s approval for a duplex hall to be built on this land. Eventually the LDC changes were introduced and we were told to sell "/>
        <s v="Originally listed: $399,000; https://www.realestate.com.au/property-house-sa-port+pirie-128474658"/>
        <s v="Cong closed date as sale date"/>
        <s v="Listed: $695,000"/>
        <s v="Provided by G. Hatrick"/>
        <s v="Now a block of flats. Original building possibly demolished."/>
        <s v="On a list held by Kim Brooks. Sold by Private Treaty which is std JW tactic."/>
        <s v="Used congregation closed date as sale date"/>
        <s v="Buyer: Shree Swaminarayan Sidhant Sajivan Mandal Perth INC (Hindu)"/>
        <s v="On Kimmy's list"/>
        <s v="Public Notice&#10;Ministry of Public Works&#10;Department of Physical Planning&#10;The public is hereby notified that an application for preliminary support of application approval&#10;(PSA/173/2019) On behalf of the *Poinciana Recovery Institute And Dr. Barrett McCartne"/>
        <s v="51°6'27.1&quot;N 2°39' 31.5&quot;E  sold to &quot; Vrijzinnig huis Koksijde&quot; translated Free spirit house Koksijde. The irony ! Sold a couple of years ago. "/>
        <s v="Article also: https://infotel.ca/newsitem/this-kelowna-church-can-be-yours-for-just-under-3-million/it71323"/>
        <s v="Developers bought it"/>
        <s v="Estimated sale amount based on stated listing amount on Kimmy's list."/>
        <s v="Current listing does not show JW logo and property was recently sold (2018). using sale data in sale history."/>
        <s v="Sale price not listed: Using asking price as an estimate."/>
        <s v="Originally listed for $144,400,000. https://local.mercadolibre.cl/MLC-518802220-propiedad-tagua-tagua-penalolen-_JM#reco_item_pos=3&amp;reco_backend=triggered_realestate_recommendations&amp;reco_backend_type=function&amp;reco_client=classi-realestate-vip&amp;reco_id=c7cc"/>
        <s v="Property includes: Assembly Hall and Kingdom Hall. https://www.google.com.au/maps/place/Jehovah's+Witnesses+Costa+Rica+Bethel,+Heredia+Province,+San+Antonio+District,+Bel%C3%A9n,+Costa+Rica/@9.9854131,-84.1698321,545m/data=!3m1!1e3!4m13!1m7!3m6!1s0x8fa0fb"/>
        <s v="It's unclear what is what in the address. So I may have the street-town- province mixed up"/>
        <s v="Unknown date of sale. https://www.reddit.com/r/exjw/comments/9jmy3n/jehovahs_witnesses_sell_oulus_conventions_place/"/>
        <s v="Bought by the city for kindergarten day care"/>
        <s v="Scroll down in the link under the other KH"/>
        <s v="Another one sold on Ebay"/>
        <s v="Was converted to a house"/>
        <s v="SOLD thru EBAY!!!!"/>
        <s v="ebay property listing. https://www.google.com.au/maps/place/Jehovas+Zeugen/@51.8000277,8.8222809,90m/data=!3m1!1e3!4m13!1m7!3m6!1s0x47ba4e4f2e532e8b:0xb9482efb248c4f0!2s33189+Schlangen,+Germany!3b1!8m2!3d51.8078091!4d8.8375711!3m4!1s0x47ba4e5eed96383f:0x9"/>
        <s v="Hong Kong Branch Office. The branch was located in large villa type houses in a very expensive part of Hong Kong. The listing refers to #12 &amp; #14, Kent Road but I know WT owned more property in Kent Road. They sold all these villas and move into a commerc"/>
        <s v="Sale price unknown. Used media-stated guideline price as an estimate. Apparently bought by St. Catherines (unconfirmed). https://www.independent.ie/regionals/wicklowpeople/news/jehovahs-witnesses-hq-goes-on-market-27865725.html"/>
        <s v="On Kimmy's list. Estimated price based on stated price on list."/>
        <s v="Buyer: Elim Church"/>
        <s v="Submitted to Kimmy from 'Goatlike Personality'"/>
        <s v="I need confirmation on this document. this is in Norwegian. More information is needed. (The document seems to be a planning document for a Kingdom Hall at Nyveg, 3840 Seljord. The plans in the document originate from the Norway branch. - AfW)"/>
        <s v="Looks like the listing is no longer on the site"/>
        <s v="Ad no longer available. Assume Sold"/>
        <s v="Coordinates: 49.966469, 19.147391"/>
        <s v="Coordinates: 49.453793, 20.281718"/>
        <s v="Coordinates: 52.046828, 21.430163"/>
        <s v="House next to Kingdom Hall (4 Tadeusza Rejtana)"/>
        <s v="52.102401, 20.809936 Just land 24 km from Warsaw center. "/>
        <s v="Geo Coordinates: 54.290381, 19.115494"/>
        <s v="Original price: 195,000"/>
        <s v="Ad no longer available. Assume sold."/>
        <s v="Ad no longer available. Assuming sold."/>
        <s v="Coordinates: 54.051246, 15.281905"/>
        <s v="Congregacion Vista Azul"/>
        <s v="Barrio-Yahuecas"/>
        <s v="Antonio Cartagena Properties"/>
        <s v="GPS: 18.36137, -66.20675"/>
        <s v="Tomas De Castro"/>
        <s v="NIC 25-Oct-2019"/>
        <s v="From Kimmy's list"/>
        <s v="On Kimmy's list. Used NIC date as estimated listing date"/>
        <s v="https://www.clasificadosonline.com/m/PartnerListingM.asp?ID=32172&amp;CID=1&amp;fbclid=IwAR27qNW_vh-raLkl4kKFNNlwJ6a_fjncdD1fg0--C0b00vVWe_RQ_kM-SPM"/>
        <s v="On Kimmy's List. NIC 25-Oct-2019"/>
        <s v="NIC: 25-Oct-2019"/>
        <s v="On Kimmy's list. Used NIC date as estimated listing date."/>
        <s v="On Kimmy's list. Amount and listing date unknown."/>
        <s v="Google GPS: 18.487895, -66.656930"/>
        <s v="Google GPS: 18.43677, -66.49994"/>
        <s v="I have the screen shot for the property listing in my files"/>
        <s v="Amelia Catano"/>
        <s v="Now is a Churches of Christ center"/>
        <s v="Sweden Bethel Branch"/>
        <s v="Buyer: Tyresö Bostäder"/>
        <s v="Sold to a property developer"/>
        <s v="Northern Ireland not available in country list"/>
        <s v="IBSA website"/>
        <s v="This is the property where a huge legal battle and the Kingdom Hall Trust tried to do a hostile takeover; https://acorn.agencypilot.com/store/documents/other/253504_49hn3294r6063mrc.pdf?agtype=7&amp;agkey=444+26748"/>
        <s v="Formally Portsmouth and Cosham Congs.  Sold due to ‘subsidence’ and needing repairs. "/>
        <s v="Behind McDonalds. Now a Vet"/>
        <s v="It was going to be by auction, but it looks like it may have sold already. https://www.zoopla.co.uk/for-sale/details/54556122; Unknown sale amount. Used listing amount as an estimate."/>
        <s v="Warstock Kingdom Hall has been on sale a while now but also in Birmingham UK either Rubery or Rednal is also up for sale."/>
        <s v="No current listing however google earth was taken 2011 as above, but now for proof, another private company has taken over the address.&#10;https://gasandcontrols.com/contact/"/>
        <s v="Ex kingdom hall Tenby. It is currently a bicycle shop."/>
        <s v="1 of two kingdom halls in the town of Newcastle under Lyme. Congregations merged."/>
        <s v="Newcastle (Gosforth) Congregation.  I think the property was bought by a solicitor firm. This link is open to the general public and contains evidence of the property being sold and the money being sent to WT the following financial year.  If you click on"/>
        <s v="https://www.onthemarket.com/details/4601620/"/>
        <s v="Listing price is asking for offers over 76500 pounds"/>
        <s v="Northwales"/>
        <s v="Oldfield Park"/>
        <s v="Buyer: LDS Church"/>
        <s v="IBSA Properties"/>
        <s v="IBSA Properties - Park Homes"/>
        <s v="Google Map GPS: 53.219385, -3.059177    Cnr. Bethel Place"/>
        <s v="Sold by pvt treaty. Used stated price on Kimmy's list as latest known estimate."/>
        <s v="Buyer: Christian Church of God"/>
        <s v="Google Maps reports KH as closed"/>
        <s v="On Kimmy's list. Used 1,150,000 GBP as an estimate of stated USD amount of $1,438,050. Sale date used is Withdrawn date. Now a block of flats."/>
        <s v="IBSA Properties; 25x 2-bedroom flats; Sale price: Not provided; Sale price estimated at average 500,000 GBP per unit."/>
        <s v="IBSA Properties; POA"/>
        <s v="From Lara's List; IBSA properties"/>
        <s v="IBSA Properties; Listed for: 1,250,000 GBP"/>
        <s v="IBSA Properties; 16 flats; Sale Price: not disclosed; Estimated price at 500,000 GBP per unit"/>
        <s v="IBSA Properties; 11x apartments; Under Offer on 21-Mar-2020; Sale price not disclosed; Sale price estimated at 500,000 GBP per unit"/>
        <s v="IBSA Properties; 28 flats; Under offer; Sale Price: not disclosed; Sale price estimated at 500,000 GBP per unit"/>
        <s v="IBSA Properties; Listed for 950,000 GBP"/>
        <s v="IBSA Properties; 11 flats; Sale Price: not disclosed; Estimated sale price at 500,000 per unit"/>
        <s v="IBSA Properties; Listed for: 1,395,000 GBP"/>
        <s v="IBSA Properties; Under Offer; Price not disclosed"/>
        <s v="IBSA Properties; Under offer on 21-Mar-2020; 25 residential units; Sale Price not disclosed; Estimated sale price at 500,000 GBP per unit."/>
        <s v="Property listing not found. Now a Martial Arts dojo since 2015. Used 2015 as an estimated sale date."/>
        <s v="On Kimmy's list. Can't find property listing."/>
        <s v="Now a schoolwear shop"/>
        <s v="Will convert to townhouses. https://www.kidderminstershuttle.co.uk/news/18128758.plans-convert-stourport-church-homes/ ; https://media.onthemarket.com/properties/3867433/doc_0_0.pdf"/>
        <s v="NIC 11-Aug-2019"/>
        <s v="Sold to House of Prayer church"/>
        <s v="Original Price: $79,000"/>
        <s v="Sold to the 7th Day Christian Fellowship church"/>
        <s v="Sold to a church"/>
        <s v="Sold to a preschool"/>
        <s v="Real estate called. For slae for $122,500  For sale sign out front- https://www.google.com/maps/place/402+W+Pierce+St,+Crossett,+AR+71635/@33.1658674,-91.9503225,3a,75y,322.03h,92.62t/data=!3m7!1e1!3m5!1s7epOw7VI_wUqG-HpS83gHA!2e0!5s20140501T000000!7i1331"/>
        <s v="Sold to Church"/>
        <s v="Originally listed for $190,000. https://www.zillow.com/homedetails/706-Xavier-St-Fort-Smith-AR-72901/117936256_zpid/"/>
        <s v="Sold to King Solomon Missionary Baptist church"/>
        <s v="True Source publishing co now"/>
        <s v="Sold to Our Savior Church"/>
        <s v="Sold to United Missionary Baptist church"/>
        <s v="Sold to Harmony Community Baptist church"/>
        <s v="Originallly listed for $99,500 in 2008"/>
        <s v="Now is an Auto parts store and is up for sale again for $260,000- https://www.loopnet.com/Listing/16562908/401-E-Clanton-Ave-Buckeye-AZ/"/>
        <s v="Kingdom Hall was listed there in 2012"/>
        <s v="Bought by Ppep Inc"/>
        <s v="Listed for $75,000 on 14-Apr-2019"/>
        <s v="Bought by the Souls Harbor Apostolic church- http://soulsharborlighthouse.org/wp/"/>
        <s v="Couldn't find a price"/>
        <s v="Listed for $800,000 on 11-Apr-2018"/>
        <s v="This one is pending right now"/>
        <s v="This one is listed as a private listing at this time"/>
        <s v="Bought by a Buddhist Mosque"/>
        <s v="This is a private listing at this point, so there is no public listing"/>
        <s v="Bought by the Livingstone for Christ church"/>
        <s v="Now a Child Day Care"/>
        <s v="Now the Iglesia De Dios church"/>
        <s v="Price is now 'Upon Request'"/>
        <s v="Granite Bay Congregation, Non compliance with CA health &amp; safety notice, found it online.  Drove to the site &amp; KH Sign is gone, building looks totally different.  County may have taken possession.  I'll try to do more research."/>
        <s v="Listed for $1,350,000 on 28-Sep-2018"/>
        <s v="Been empty for ~6 months "/>
        <s v="Bought by a funeral home"/>
        <s v="Originally listed for $ 224,900"/>
        <s v="Listed for $424,900 on 10-Mar-2019; https://www.milfordmirror.com/news/article/French-Speaking-Baptist-Church-moves-into-former-14419886.php ; https://www.youtube.com/watch?v=OfGj2EJGsd8"/>
        <s v="Sales price unknown"/>
        <s v="Listed for $284,500 on 24-Oct-2017"/>
        <s v="Originally listed for $340,000"/>
        <s v="Buyer: Bible Baptist Church"/>
        <s v="Used Assessed Value, as sale price unknown."/>
        <s v="Listed for $225,000 on 10-May-2019"/>
        <s v="Originally listed for $325,000"/>
        <s v="Listed for $185,000"/>
        <s v="Previous congregation was Brookhaven Spanish. Property was an old postal annex. Sold, Cong sent to another KH off Jimmy Carter Blvd, norcross, ga. Extra space paid $4 million and built a storage facility. Profit for WTC was $2.7 million."/>
        <s v="Listed for: $159,000"/>
        <s v="Sold to Long's Drug store: https://www.bizjournals.com/pacific/news/2014/07/22/longs-drugs-to-open-new-store-in-east-honolulu.html?page=all"/>
        <s v="Sold to Hindu Temple"/>
        <s v="Now the Daybreak Wesleyan Church"/>
        <s v="Now an Insurance office"/>
        <s v="Sold to Therapeutic Massage center"/>
        <s v="Bought by develper and turned into a duplex"/>
        <s v="Bought by a Child Day Care"/>
        <s v="Sold to Bible Missionary Church"/>
        <s v="Just went under contract 4-21-2020"/>
        <s v="Bought by the New Life Family Church"/>
        <s v="Listed for $275,000 on 11-Oct-2019"/>
        <s v="Listing not found. On Kimmy's list. Used stated value on list as an estimate. Now a Gospel Tabernacle church."/>
        <s v="Sold to New Beginnings Community church"/>
        <s v="Listed on 20 Oct 2019 for $475,000"/>
        <s v="NIC 2019/08/11"/>
        <s v="Sold to Midwest Neuro Fitness"/>
        <s v="Sold to City-Hope Evangelical church"/>
        <s v="Sold to Living Testimony Ministry church"/>
        <s v="Sold to Iglesia Nueva Uncion church"/>
        <s v="Sold and is house now"/>
        <s v="Sold to school disrict"/>
        <s v="Sold to Kings Majesty Ministries church"/>
        <s v="Originally listed for $99,900"/>
        <s v="Sold to New Unity Baptist church"/>
        <s v="Sold to Illinois Veternarian college"/>
        <s v="Sold to First Baptist church"/>
        <s v="Sold to Agape Fellowship church- Up for sale again for $45,900"/>
        <s v="Sold to Family of God Pentecostal church"/>
        <s v="Originally: $160,000"/>
        <s v="Original Listing: $369,900"/>
        <s v="Listed for: $2,900,000"/>
        <s v="Listed for: $159,900"/>
        <s v="See sales history in link for 2018 delisting amount."/>
        <s v="Used Assessed Market Value, as sale amount is not available."/>
        <s v="Listed for: $199,900"/>
        <s v="On Kimmy's list; Now a medical practice"/>
        <s v="Was bought by the &quot;God's Community Church&quot; http://4gven.com/index.php/js_events/date-reserved-for-gods-community-church/"/>
        <s v="Sold to Financial Services"/>
        <s v="Sold to Beacon Light Baptist church"/>
        <s v="Sold to Nola Munchies"/>
        <s v="Abundant Life International Ministry church"/>
        <s v="Bought by Little Mt Olive Baptist church. Price and sale year determined from change in tax assessment. For New Orleans, tax assessment is 10% of market value. Tax assessment for 2015 was $16,230, up from $12,000 in 2014."/>
        <s v="Sold to Next Generation of Morning Star church"/>
        <s v="Bought by Church of God church"/>
        <s v="Bought by Rosepine Church of Christ"/>
        <s v="Sold to King's Court United Pentacostal church"/>
        <s v="Sold to County Road Resources"/>
        <s v="Sold to Apostlic church"/>
        <s v="Originally listed for $2325000- Small Kingdom Hall with apartments"/>
        <s v="Bought by Baptist church- https://www.google.com/maps/place/805+Bernardston+Rd,+Greenfield,+MA+01301/@42.6240895,-72.5753426,3a,75y,99.68h,90t/data=!3m6!1e1!3m4!1swoMpAyX2DvECLoIWnb4NxQ!2e0!7i13312!8i6656!4m5!3m4!1s0x89e125a407f23c57:0xe7b2dea2b66d3722!8m"/>
        <s v="Now a chiropractors office"/>
        <s v="Bought by a church. Up for sale again"/>
        <s v="Listed for $495,000 on 9-Apr-2019"/>
        <s v="Sold to Pentacostal Church"/>
        <s v="Sold to church- Originally listed for $549,900"/>
        <s v="Sold to Grace Baptist church"/>
        <s v="Sold to a child day care"/>
        <s v="Sold to Grace Cathedral church"/>
        <s v="Now is a Mosque"/>
        <s v="Sold to New Venture Christian church"/>
        <s v="Exact sale date &amp; price not known. Market value at 2015 used as an estimate. Buyer: North American Islamic Trust Inc"/>
        <s v="Sold to the Salvation Army"/>
        <s v="Orginally listed for $205,000"/>
        <s v="In paper for sale. https://www.thedailyreporter.com/news/20190429/addison-jehovahs-witnesses-kingdom-hall-up-for-sale"/>
        <s v="No info on current owner or any sales- Kingdom hall has new address in Adrian.  "/>
        <s v="Currently owned by Amazing Blue, Inc."/>
        <s v="Was for sale. NIC 8-11-2019. No info on new owner and no sale info found. "/>
        <s v="Currently owned by Full Gospel Deliverance Center"/>
        <s v="SALE PENDING - NO INFO ON WHO PUT THE OFFER IN "/>
        <s v="Not sure if a KH. Whole area was leveled and re-mapped to build a shopping centre. See google map overlay."/>
        <s v="No info other than it's currently owned by Friendship Centers of Emmet"/>
        <s v="Currently is called Hospice At Home/Caring Circle of Lakeland"/>
        <s v="Currently owned by Living Hope Assembly of God"/>
        <s v="I think it may be owned by Caro Apostolic Church of MI"/>
        <s v="Was unable to find any info on sales or current owner"/>
        <s v="Currently owned by Humane Society of St. Claire County SNAP "/>
        <s v="Couldn't find any sales info - Is currently called &quot;Hear Michigan&quot; (hearing aids)"/>
        <s v="Cannot find any new info - No kingdom hall at this location anymore "/>
        <s v="Originally listed for $228000"/>
        <s v="Currently is Point of Grace Apostolic Church"/>
        <s v="Currently owned by Greater Apostolic Temple Church"/>
        <s v="Owned by God's House of Prayer Church "/>
        <s v="Bought by Northwestern Community Baptist Church "/>
        <s v="Currently is Word of Truth Assembly"/>
        <s v="Currently owned by Judah Temple of Christ "/>
        <s v="Owned by Peace For All Ministries "/>
        <s v="Currently listed as Victory Baptist Church International "/>
        <s v="Currently owned by Dominion Adult Day Care &amp; Therapeutic Clinic "/>
        <s v="Owned by Saint Galilee Missionary Baptist Church"/>
        <s v="Sold to New Hope Lutheran Church"/>
        <s v="Sold to New Life Tabernacle Ministries"/>
        <s v="unknown "/>
        <s v="Currently listed as &quot;5 Fold Ministry Christian&quot;"/>
        <s v="currently is Weather Vane Roofing "/>
        <s v="Unknown - possibly public school "/>
        <s v="The Ridge Covenenant Church "/>
        <s v="unknown - residential "/>
        <s v="Tipp of the Mitt Orthodontics "/>
        <s v="JES Professional Services "/>
        <s v="Originally listed for $57,900"/>
        <s v="Cannot find any info regarding the sale or new ownership "/>
        <s v="Currently Grace Valley (nursing home)"/>
        <s v="Not able to find any info on current owner"/>
        <s v="Currently listed as Laurentide Winery"/>
        <s v="After being sold in 2005, it has been used as a single family residence. "/>
        <s v="Currently owned by Daley Rd Animal Care"/>
        <s v="Cannot find any info - It looks like this is just a vacant lot/land "/>
        <s v="Sold to the Vergennes Township office"/>
        <s v="Currently owned by Hyza Chiropractic "/>
        <s v="Sold and used as single family residence/lot - no other info found"/>
        <s v="It sold awhile ago but it is now the Family Foot Clinic"/>
        <s v="Currently owned by H&amp;R Block"/>
        <s v="Currently owned by Freedom Worship Center "/>
        <s v="Currently owned by Montessori School "/>
        <s v="KH building has now been demolished as at 31-May-2019"/>
        <s v="Currently owned by Red Dragon Hobbies Inc"/>
        <s v="Currently a single family home/lot"/>
        <s v="Owned by Perry Physical Therapy"/>
        <s v="Currently listed as a single family home"/>
        <s v="Currently listed as Blue Army Marian Center "/>
        <s v="Currently owned by Made In His Image Church "/>
        <s v="Owned by Glimpse of Hope Ministries "/>
        <s v="Sold in 2005, had since been sold after new ownership"/>
        <s v="Looks like it was bought as a single family residence. "/>
        <s v="Sold to Fabius Township Hall "/>
        <s v="Orignially listed for $139,900"/>
        <s v="Now owned by Fresh Start Ministries "/>
        <s v="Currently owned by &quot;Spiritual Israel&quot;"/>
        <s v="I cannot find if it sold or not"/>
        <s v="They remodeled a couple years before selling, of course. It can be seen on google maps, because they re-did the parking lot. Th building was designed by a student of Frank Lloyd Wright from what I have heard. The Hennepin county tax website only had month"/>
        <s v="Buyer: Kidz Junction; On Kimmy's list"/>
        <s v="Original Listing: $235,000; 11-Aug-2019"/>
        <s v="Buyer: Familia Cristiana Internacional"/>
        <s v="Listed for $775,000 on 17-Apr-2019"/>
        <s v="Was a kingdom hall in 1996. Is now Columbia Bible Baptist Church. "/>
        <s v="Listed for $250,000 on 10-Oct-2019. https://www.missionvalleyproperties.com/-/listing/MT-NWMAR/21916926/Saint-Ignatius-MT-59865?display_page=3&amp;index=2&amp;lpp=20&amp;total_listings=57&amp;ss_id=5308267&amp;from=saved_search"/>
        <s v="Listed Price: $339,000"/>
        <s v="Bought by Pentacostal church- Up for sale again for $175,000"/>
        <s v="buyer : Philadelphia Missionary Baptist Church "/>
        <s v="Sold to The Living Church. Original address record entered as 555 Palisade Ave, Jersey City, NJ 07307"/>
        <s v="Bought by Baptist church"/>
        <s v="Bought by Horseman's Feed supply"/>
        <s v="Sold to Grace Covenant Church"/>
        <s v="Bought by First Christian Church"/>
        <s v="Bought by Namaste Assisted Living"/>
        <s v="Sale price &amp; date not available. Used stated listing price on Kimmy's list as an estimate."/>
        <s v="Bought by New Life Church of Roswell"/>
        <s v="Now is Alpha Omega Chiropractic"/>
        <s v="Now the Mosque of Al Rahma"/>
        <s v="Bought by the &quot;Gospel Light Baptist&quot; church"/>
        <s v="https://icris.washoecounty.us/ssrecorder/web/integration/document?DocumentNumberId=4070837 &#10;-(The seller/JW name is- SIERRA VISTA CONGREGATION OF JEHOVAHS WITNESSES) (the buyer is ASSEMBLIES OF GOD NORTHERN CALIFORNIA &amp; NEVADA DISTRICT COUNCIL INC)&#10;-Accor"/>
        <s v="Sold to Christian Life Center church"/>
        <s v="Sold to Church of Jesus Christ Apostolic of NY"/>
        <s v="Buyer: 69 Adams LLC; Assessed Value: $3,793,050"/>
        <s v="Buyer: 80 Adams Property Owner LLC; Assessed Value: $1,077,300"/>
        <s v="Buyer: 55 Prospect Owner LLC; Assessed Value: $5,673,773"/>
        <s v="Sold to Advent Fellowship"/>
        <s v="Buyer: 21 Clark Street Property Owner LLC; Assessed Value: $27,166,050"/>
        <s v="GC Clark LLC; Assessed Value: $594,000"/>
        <s v="Includes: 67 Furman St, 51 Furman St, Lot 12 Columbia Heights; Buyer: 25-30 Columbia Heights (Brooklyn) LLC; Assessed Value: $47,377,350"/>
        <s v="Buyer: 97 Columbia Heights LLC; Assessed Value: $6,722,100"/>
        <s v="Buyer: Clipper 107 CH LLC; Assessed Value: $12,997,800"/>
        <s v="Buyer: 119 Columbia Heights LLC; Assessed Value: $2,148,300"/>
        <s v="Includes: 128 Columbia Heights; Buyer: Eastern Division LLC; Assessed Value: $15,095,700"/>
        <s v="Includes: 122 Columbia Heights; Buyer: Eastern Division LLC"/>
        <s v="Buyer: 161 Columbia Heights Residences LLC; Assessed Value: $310,845"/>
        <s v="Buyer: George Feiger Trustee / Anita Driscoll Feiger Trustee; Assessed Value: $102,978"/>
        <s v="Buyer: Club Deal 133 Columbia Heights Limited Partnership; Assessed Value: $3,996,000"/>
        <s v="Buyer: 183 Columbia Holding LLC; Assessed Value: $430,200"/>
        <s v="Included In: 29 Columbia Heights; Buyer: 25-30 Columbia Heights (Brooklyn) LLC"/>
        <s v="Sold to House of God Church"/>
        <s v="Buyer: Fortis Dumbo Acquisition LLC; Assessed Value: $2,034,450"/>
        <s v="Included in: 177 Front St &amp; 200 Water St; Buyer: Dumbo Assemblage LLC;"/>
        <s v="Incl. 173 Front St &amp; 200 Water St; Buyer: Dumbo Assemblage LLC; Assessed Value: $1,183,950"/>
        <s v="Buyer: 360 Brooklyn Investors LLC; Assessed Value: $15,165,000"/>
        <s v="Buyer: Brooklyn Law School; Assessed Value: $616,500"/>
        <s v="Buyer: 85 Jay Street (Brooklyn) LLC; Assessed Value: $1,481,850"/>
        <s v="Buyer: 108 Joralemon Investors LLC;  Assessed Value: $210,015"/>
        <s v="Buyer: GC Livingston LLC; Assessed Value: $1,642,500"/>
        <s v="Buyer: CF Bossert 26 LLC; Assessed Value: $14,265,000"/>
        <s v="Buyer: Georg Rietboeck / Aditi Bagchi; Assessed Value: $274,500"/>
        <s v="50 Orange Street Residences LLC"/>
        <s v="Buyer: 77 Sands Owner LLC; Assessed Value: $5,194,206"/>
        <s v="Buyer: 175 Pearl Owner LLC; Assessed Value: $4,594,984"/>
        <s v="Buyer: 117 Adams Owner LLC; Assessed Value: $4,441,484"/>
        <s v="Buyer: 81 Prospect Owner LLC; Assessed Value: $1,872,538"/>
        <s v="Buyer: Heights 67 LLC; Assessed Value: $312,513"/>
        <s v="Buyer: 90 Sands Owner LLC; Assessed Value: $29,519,100"/>
        <s v="Included In: 177 &amp; 173 Front St; Buyer: Dumbo Assemblage LLC"/>
        <s v="Buyer: R Shannon / S Shannon; Assessed Value: $71,884"/>
        <s v="Was for sale. Still owned by WTBTS. Managed by Watchtower Properties. Units being rented out. Used estimated value as possible sale amount."/>
        <s v="Was for sale. Still owned by WTBTS. Used Estimated value as potential sale price."/>
        <s v="Buyer: 105 Willow Street LLC; Assessed Value: $131,326"/>
        <s v="Sold to The Worship Center"/>
        <s v="Sold to Pro Firefighters"/>
        <s v="Sold to Billietier Electric"/>
        <s v="Buyer: Essex County"/>
        <s v="Sold to Special Needs Program"/>
        <s v="Now &quot;Time Out Lounge&quot;"/>
        <s v="Originally listed for $399,000"/>
        <s v="Sold to New Hope Baptist church"/>
        <s v="Originally listed for $2.4 Million: http://www.madeleinerealty.com/agent/property?ListingName=*1318647"/>
        <s v="Now the Detrick Family Chiropractic office"/>
        <s v="Sold to Johnstown Animal Clinic"/>
        <s v="Now the &quot;Brandywine Banquet Center&quot;"/>
        <s v="Sold to &quot;All Saints Church of God&quot;"/>
        <s v="Sold to Bosnian Hercegovinian Islamic Center"/>
        <s v="Turned into a residence. There is no Kingdom hall in Machias at all"/>
        <s v="Now: JJS Transportation &amp; Distribution"/>
        <s v="Sold to Niagara Falls Church of Christ"/>
        <s v="Sold to Olean Meditation Center"/>
        <s v="Now Skeels Denistry"/>
        <s v="Sold to the Charity Bible Church: https://www.google.com/maps/place/1794+Scottsville+Mumford+Rd,+Scottsville,+NY+14546/@43.0116649,-77.8276714,3a,75y,326.92h,90t/data=!3m7!1e1!3m5!1soHRrm31FblHSkPKlBYjr5Q!2e0!6s%2F%2Fgeo3.ggpht.com%2Fcbk%3Fpanoid%3DoHRrm3"/>
        <s v="Now the Fellowship Hall"/>
        <s v="On Kimmy's list. 3-Mar-2019 Brother Frank TV video"/>
        <s v="Now the Muslim Community Associates"/>
        <s v="This sale is pending as of 3/24/2020"/>
        <s v="Now St Joseph's Church"/>
        <s v="The Educational Empowerment Group"/>
        <s v="Alliance Believers Church"/>
        <s v="unknown"/>
        <s v="Listed for: $185,000"/>
        <s v="Aster Hardwoods LLC"/>
        <s v="Recovery Zone"/>
        <s v="Possibly called &quot;Community Church of God&quot;"/>
        <s v="currently listed as SARTA Belden Village Transit Center "/>
        <s v="Elite Tumbling Center"/>
        <s v="Sold to stadium"/>
        <s v="currently is BREAD OF LIFE CHURCH"/>
        <s v="Sold to a credit union"/>
        <s v="Sea of Glass Church of God"/>
        <s v="Was being used as a doctor's office, now listed for rent"/>
        <s v="True Missionary Baptist Church"/>
        <s v="Small Wonders Discovery and Learning Center"/>
        <s v="New Season Christian Ministries "/>
        <s v="New Testament Christian Church "/>
        <s v="Sold to American Red Cross"/>
        <s v="Rebecca's Place"/>
        <s v="Crosser Funeral Home"/>
        <s v="Sold to Baptist church"/>
        <s v="Tamara Hosiery Company "/>
        <s v="Now is a Masonic Temple"/>
        <s v="Grove City Community Church"/>
        <s v="Sold to Lighthouse Christain Fellowship"/>
        <s v="Laux Chiropractic "/>
        <s v="Sold to Berean Bible Church- Originally listed for $99,000"/>
        <s v="All Believers in Christ "/>
        <s v="Listed for $299,000 on 10-May-2018"/>
        <s v="Listed for $134,900 on 1 Feb 2018"/>
        <s v="Now the Bethel Lighthouse Pentecostal Church. Sold for $115,000 on 12-Jan-1998. Was not sold in or after 2004, so leaving the price column as $0."/>
        <s v="Guys and Dolls Hair Co. "/>
        <s v="Oxford Vinyard Church "/>
        <s v="Listed for $259,900 on 26-Dec-2018"/>
        <s v="Van Dootingh Sue E OD"/>
        <s v="Listed for $450,065 on 12-Dec-2017"/>
        <s v="Currently an apartment or single family home."/>
        <s v="Fraternal Order of Eagles"/>
        <s v="Listed for $194,900 on 30-May-2018"/>
        <s v="SOLD MAY 2020"/>
        <s v="Smart Start Academy Child Care &amp; Learning Center "/>
        <s v="Nazarene Christian Congregation "/>
        <s v="Four Winds Full Gospel Church"/>
        <s v="Daycare bought it"/>
        <s v="A Promising Tomorrow. Last sold sometime in 2007. Month and day unknown"/>
        <s v="Power House (church). Sold for $175,000 on 22 Apr 2003. Because it sold before 2004, leaving sale amount as $0."/>
        <s v="Over the Rainbow Early Learning Center "/>
        <s v="Youtube video: https://youtu.be/EoLkX9m7s0s"/>
        <s v="Originally listed for $245,000"/>
        <s v="unknown - no info "/>
        <s v="Mercy In Action Ministries "/>
        <s v="single family home "/>
        <s v="Originally llisted for $344,000"/>
        <s v="Youngstown Event Center"/>
        <s v="Original Ask: $399,000"/>
        <s v="Originally listed for $149,000 on 16-Apr-2020 by All Oregon Property."/>
        <s v="Listed for $399,000 on 2 Apr 2018"/>
        <s v="Listed for $475,000 on 23-Aug-2018"/>
        <s v="Listed: $413,000 on 2019-07-22; NIC 2019-08-11"/>
        <s v="Now  Vertech Engineering"/>
        <s v="Now the Visiting Nurses of NW PA"/>
        <s v="Originally listed for $194,900 Article: https://www.post-gazette.com/life/homes/2006/04/01/Landmarks-in-the-woods-Bradford-Woods-schoolhouse-general-store-recall-borough-s-history/stories/200604010110"/>
        <s v="Now the Church of God of Prophecy"/>
        <s v="Now the Dentica Inc dentist office"/>
        <s v="Now the Chambersburg Friends-Quakers Meeting- Church"/>
        <s v="Listed for: $497,000 28-Nov-2010"/>
        <s v="Now the Living Hope Apostolic church"/>
        <s v="Originally listed for $250,000"/>
        <s v="Now the Fox Brothers Security Solutions"/>
        <s v="NIC: 11-Aug-2019"/>
        <s v="Listed: $380,000 on 30/12/2018"/>
        <s v="Now the Hamburg Family Dental"/>
        <s v="Listed for: $350,000 on 9-Apr-2019"/>
        <s v="originally listed for $139,900"/>
        <s v="Listed for: $240,000"/>
        <s v="Made into apartments- https://www.google.com/maps/place/Jehovah's+Witnesses/@39.9352634,-75.1646317,15z/data=!4m5!3m4!1s0x0:0x997ab87b0c8d7d31!8m2!3d39.9352634!4d-75.1646317"/>
        <s v="Purchased on 17-Feb-2011 for $725,000"/>
        <s v="Now the Bethesda Christian Fellowship church"/>
        <s v="Germantown Cong- Sold to developer and made into apartments"/>
        <s v="Now the Hope Rising Child"/>
        <s v="Now a church"/>
        <s v="Now the New Joy Missionary Baptist church"/>
        <s v="Now a child daycare"/>
        <s v="Now Joa Mart"/>
        <s v="Tore down and apartment building going up"/>
        <s v="JW left her estate to Watchtower- This was her home &amp; sold. Money went to WT"/>
        <s v="Listed for $245,000 on 19-Dec-2019"/>
        <s v="Sold to Child day care"/>
        <s v="Sold to Worth Mechanical Engineers"/>
        <s v="Originally listed for $109,000. "/>
        <s v="Originally listed for $200000"/>
        <s v="I couldn't find the property listing because it's gone"/>
        <s v="Now is the Shekinah Tabernacle Church"/>
        <s v="Sold to York 7th Day Adventist church"/>
        <s v="Sold twice in the same year. Second sale on Jun 18, 2019 for $315,000 (probably not a JW sale)"/>
        <s v="Current Owner: Marta's DEADWOOD doghouse"/>
        <s v="Originally listed for $289,000"/>
        <s v="Original List Price: $455,000"/>
        <s v="Originally listed on 27-Apr-2018 for $330,000 on MyCo Realty."/>
        <s v="Price is a 'Guesstimate'. Buyer: IGLESIA DE JESUCRISTO PALABRA"/>
        <s v="Original Listing: $135,000.  Buyer: Prayer Time Community Church"/>
        <s v="Used sale price from Kimmy's list"/>
        <s v="Buyer: True Believer's Praise &amp; Worship Sanctuary"/>
        <s v="Originally listed for $115,000"/>
        <s v="Sold to Christian Life Baptist Church"/>
        <s v="Sold to Mount Carmel Church"/>
        <s v="On Kimmy's list. Used video date as listing date."/>
        <s v="Sold via Pinnacle Property Options LLC to New Harvest Family Worship Center"/>
        <s v="Original Listing: $624,990 on 28-Jul-2019; https://www.xome.com/commercial-for-sale/331-W-Morris-Rd-Coupeville-WA-98239-314801427; Price updated and new link published."/>
        <s v="I tried searching this via parcel/tax info for Whatcom county via assessor/treasurer department but wasn’t able to find more info. See also: https://www.zillow.com/homedetails/7053-Enterprise-Rd-Ferndale-WA-98248/2081427764_zpid/?"/>
        <s v="Made into a house"/>
        <s v="Sold to Lakeview Bible Church"/>
        <s v="Sold to Restoration Bible church"/>
        <s v="Unknown sale date or sale amount. Estimated assessment 2017 is $739,700"/>
        <s v="Sold to Portico Christian Church"/>
        <s v="Cannot find a property listing- But sold to Enleaf Web Design Marketing"/>
        <s v="Sold to 4 Seasons Sunrooms"/>
        <s v="Sold to Funeral Home"/>
        <s v="The link I provided is from our counties parcel/tax records which shows the congregation name and the buyer as well as the price sold and date of sale."/>
        <s v="Originally listed for $272,000"/>
        <s v="This Kingdom Hall was originally listed for $330,000"/>
        <s v="The two congregations that met here were merged with a congregation at another hall. Three congregations were merged into two."/>
        <s v="Sold to Foursquare church"/>
        <s v="Sold to Korean Presbyterian Church"/>
        <s v="Homestead Church bought it. "/>
        <s v="Bought by the Destiny Church"/>
        <s v="Sold to the St Michael's Angelican church- https://stmichaelswi.org/new-location"/>
        <s v="Buyer: Faith Journey Church"/>
        <s v="Bought by the Guidance Counseling Inc"/>
        <s v="Sold to Coulee Rock church"/>
        <s v="Bought by Pet Boarding Kennel"/>
        <s v="Sold to a Chiropractor office"/>
        <s v="Now is the Grace Fellowship Church"/>
        <s v="Converted to a house"/>
        <s v="Listed for $475,000 on 29-Jan-2019. Buyer: Five Solas Church"/>
        <s v="Buyer: Faith Bible Church"/>
        <s v="Bought by church. Is up for sale again $199,000"/>
        <s v="Can't find a price"/>
        <s v="Bought by Karen's Academy of Dance, but no other information was found.  "/>
        <s v="Cannot find any sales info.  The congregation might have bought a new K.H. New address w/ different zip code listed online and is active.  "/>
        <s v="The property looks like it was remodeled into a private home.  Not sure if this is an accurate address from the list.  "/>
        <s v="Found a picture of the building at this address, it looks like a kingdom hall, but no information was available as to any sales listing or previous sales.  It is closed, and no other businesses are listed for this address.  "/>
        <s v="Currently owned by Alban Arts Center"/>
        <s v="Looks like it is owned by Christ The King Family Worship Center"/>
        <s v="A Rehab center bought it"/>
        <s v="Sold to UTI Trucking Inc"/>
        <s v="Originally listed for $398,000"/>
        <s v="Sold to Children's Resource Center"/>
        <s v="Mapquest is showing a FOR SALE by OWNER so there isn't a property listing"/>
        <s v="Couldn't find the property listing but it is now an Event Center"/>
        <s v="Now it's Apartments"/>
        <s v="Sold to a Child Care"/>
        <s v="It was sold to a bank. https://bankofbridger.com/locations/bank-of-powell/"/>
      </sharedItems>
    </cacheField>
    <cacheField name="Year of Sale">
      <sharedItems containsBlank="1" containsMixedTypes="1" containsNumber="1" containsInteger="1">
        <s v="Unknown"/>
        <n v="2019.0"/>
        <n v="2016.0"/>
        <n v="2020.0"/>
        <n v="2017.0"/>
        <n v="2011.0"/>
        <n v="2009.0"/>
        <n v="2015.0"/>
        <n v="2018.0"/>
        <n v="2012.0"/>
        <n v="2007.0"/>
        <n v="2013.0"/>
        <n v="2005.0"/>
        <n v="2010.0"/>
        <n v="2004.0"/>
        <n v="2014.0"/>
        <n v="2006.0"/>
        <n v="2008.0"/>
        <n v="2003.0"/>
        <m/>
      </sharedItems>
    </cacheField>
    <cacheField name="Currency Code" numFmtId="0">
      <sharedItems containsBlank="1">
        <s v="USD"/>
        <s v="ARS"/>
        <s v="AUD"/>
        <s v="EUR"/>
        <s v="BSD"/>
        <s v="CAD"/>
        <s v="CLP"/>
        <s v="COP"/>
        <s v="DKK"/>
        <s v="HKD"/>
        <s v="JMD"/>
        <s v="NZD"/>
        <s v="NOK"/>
        <s v="PLN"/>
        <s v="ZAR"/>
        <s v="SEK"/>
        <s v="CHF"/>
        <s v="GBP"/>
        <m/>
      </sharedItems>
    </cacheField>
    <cacheField name="Exchange Rate" numFmtId="0">
      <sharedItems containsString="0" containsBlank="1" containsNumber="1">
        <n v="1.0"/>
        <n v="62.8811129422"/>
        <n v="1.459865"/>
        <n v="1.367989"/>
        <n v="1.554823"/>
        <n v="1.41205"/>
        <n v="1.528895"/>
        <n v="1.5576"/>
        <n v="1.269534"/>
        <n v="1.44695"/>
        <n v="1.40289"/>
        <n v="0.97021441"/>
        <n v="1.365374"/>
        <n v="1.479935"/>
        <n v="1.367427"/>
        <n v="1.377391"/>
        <n v="1.300728"/>
        <n v="1.311785"/>
        <n v="1.4016"/>
        <n v="1.399805"/>
        <n v="1.368176"/>
        <n v="1.322453"/>
        <n v="1.401875"/>
        <n v="1.5851"/>
        <n v="1.314405"/>
        <n v="1.6180336841"/>
        <n v="1.4405"/>
        <n v="1.41893"/>
        <n v="0.97599063"/>
        <n v="1.4065"/>
        <n v="1.170411"/>
        <n v="1.288311"/>
        <n v="1.296176"/>
        <n v="0.900001097"/>
        <n v="0.9935"/>
        <n v="1.3816292481"/>
        <n v="1.330355"/>
        <n v="1.34081"/>
        <n v="1.322315"/>
        <n v="1.32552"/>
        <n v="1.30518"/>
        <n v="834.7"/>
        <n v="4020.9431973468"/>
        <n v="6.6597"/>
        <n v="0.87247"/>
        <n v="0.8993"/>
        <n v="0.87383"/>
        <n v="0.83801"/>
        <n v="0.88799"/>
        <n v="0.8967403"/>
        <n v="0.89792"/>
        <n v="0.89509"/>
        <n v="0.87872"/>
        <n v="0.9190754"/>
        <n v="0.914845"/>
        <n v="0.8975"/>
        <n v="0.88547"/>
        <n v="0.909675"/>
        <n v="0.94765"/>
        <n v="7.75109"/>
        <n v="0.70703"/>
        <n v="134.8418838222"/>
        <n v="0.87917"/>
        <n v="1.570845"/>
        <n v="1.44454"/>
        <n v="1.42837"/>
        <n v="1.517"/>
        <n v="1.266"/>
        <n v="9.098"/>
        <n v="10.0296102653"/>
        <n v="3.702695"/>
        <n v="3.79265"/>
        <n v="3.95845"/>
        <n v="3.6804"/>
        <n v="3.88915"/>
        <n v="3.74805"/>
        <n v="3.79425"/>
        <n v="4.19705"/>
        <n v="3.885645"/>
        <n v="3.7487"/>
        <n v="4.16355"/>
        <n v="3.75175"/>
        <n v="3.7022"/>
        <n v="3.708"/>
        <n v="3.6544"/>
        <n v="3.3824"/>
        <n v="3.87079"/>
        <n v="3.7227"/>
        <n v="3.78295"/>
        <n v="3.67206"/>
        <n v="3.8729"/>
        <n v="3.752275"/>
        <n v="3.87445"/>
        <n v="15.46"/>
        <n v="0.7547"/>
        <n v="0.89069"/>
        <n v="9.2901"/>
        <n v="9.7056528817"/>
        <n v="8.21578"/>
        <n v="0.9507302718"/>
        <n v="0.7919694"/>
        <n v="0.8143333168"/>
        <n v="0.78407"/>
        <n v="0.7573119"/>
        <n v="0.7971621"/>
        <n v="0.78995"/>
        <n v="0.822465"/>
        <n v="0.76951"/>
        <n v="0.806"/>
        <n v="0.74012"/>
        <n v="0.76901"/>
        <n v="0.8031193"/>
        <n v="0.86374"/>
        <n v="0.71613"/>
        <n v="0.780805"/>
        <n v="0.791475"/>
        <n v="0.7548"/>
        <n v="0.76527"/>
        <n v="0.7736945"/>
        <n v="0.799872"/>
        <n v="0.8583691"/>
        <n v="0.75426"/>
        <n v="0.77876"/>
        <n v="0.77537"/>
        <n v="0.7703"/>
        <n v="0.7806"/>
        <n v="0.7669"/>
        <n v="0.78405"/>
        <n v="0.61061"/>
        <n v="0.80434"/>
        <n v="0.71234"/>
        <n v="0.75775"/>
        <n v="0.814265"/>
        <n v="0.71466"/>
        <n v="0.67815"/>
        <n v="0.71279"/>
        <n v="0.64186"/>
        <n v="0.78388"/>
        <n v="0.8019"/>
        <n v="0.774465"/>
        <n v="0.76609"/>
        <m/>
      </sharedItems>
    </cacheField>
    <cacheField name="USD Value" numFmtId="164">
      <sharedItems containsString="0" containsBlank="1" containsNumber="1">
        <n v="45000.0"/>
        <n v="556.6059244557555"/>
        <n v="1510.7875092370505"/>
        <n v="554845.8247851685"/>
        <n v="1900600.0779246034"/>
        <n v="1607900.0632226304"/>
        <n v="269112.28355936403"/>
        <n v="124272.75908417518"/>
        <n v="0.0"/>
        <n v="787690.6014332819"/>
        <n v="518331.66315352987"/>
        <n v="784095.6881865292"/>
        <n v="443201.00337408925"/>
        <n v="115562.40369799691"/>
        <n v="1208460.0995771121"/>
        <n v="1013558.0278863598"/>
        <n v="643544.408586345"/>
        <n v="359375.07940737234"/>
        <n v="442060.13863005943"/>
        <n v="80043.60470656396"/>
        <n v="241152.9680365297"/>
        <n v="684195.6005660091"/>
        <n v="956555.7339277841"/>
        <n v="1174050.5397689182"/>
        <n v="666963.8876504682"/>
        <n v="173490.6315058987"/>
        <n v="429852.2905801484"/>
        <n v="219402.10731611677"/>
        <n v="381811.87087816733"/>
        <n v="1106467.5494915182"/>
        <n v="1239766.0006223626"/>
        <n v="1128983.1540491171"/>
        <n v="2346249.5556345535"/>
        <n v="576720.4853679604"/>
        <n v="1678012.8624507783"/>
        <n v="1088887.5616559389"/>
        <n v="327126.3210870659"/>
        <n v="555554.8783958871"/>
        <n v="2111108.537904371"/>
        <n v="635168.8083255973"/>
        <n v="2135160.358002557"/>
        <n v="160276.25092294955"/>
        <n v="361819.2077849079"/>
        <n v="279056.0494284645"/>
        <n v="358274.4885026254"/>
        <n v="688027.7049908824"/>
        <n v="167605.12759075116"/>
        <n v="44765.61621630769"/>
        <n v="2.199075E7"/>
        <n v="1501569.13975104"/>
        <n v="934129.5402707257"/>
        <n v="265555.23187323404"/>
        <n v="511110.48812421615"/>
        <n v="310241.2987879462"/>
        <n v="543583.992309717"/>
        <n v="277777.43919794355"/>
        <n v="131263.35007935466"/>
        <n v="302931.33931688423"/>
        <n v="1338180.0728705958"/>
        <n v="131414.82537419815"/>
        <n v="155129.41373014642"/>
        <n v="184674.1668435576"/>
        <n v="227603.78732702113"/>
        <n v="119685.50132013108"/>
        <n v="305555.18311773794"/>
        <n v="387777.3051203292"/>
        <n v="166666.46351876613"/>
        <n v="276666.3294411518"/>
        <n v="349786.0293273724"/>
        <n v="1771587.7437325907"/>
        <n v="176666.4513298921"/>
        <n v="351773.9852144997"/>
        <n v="187777.54889780984"/>
        <n v="358782.250831003"/>
        <n v="6.708733868397865E7"/>
        <n v="6364652.136401567"/>
        <n v="333724.2014457182"/>
        <n v="381041.2093224291"/>
        <n v="585672.0427540591"/>
        <n v="288673.21084912843"/>
        <n v="910128.3280942613"/>
        <n v="500988.79367172054"/>
        <n v="1.1453396524486572E7"/>
        <n v="384699.93405143986"/>
        <n v="275000.0"/>
        <n v="60766.54976982981"/>
        <n v="78573.02941215245"/>
        <n v="98523.41194154277"/>
        <n v="54070.20975980871"/>
        <n v="74566.42196881067"/>
        <n v="45356.91893117754"/>
        <n v="108628.37726888049"/>
        <n v="144956.18369901826"/>
        <n v="26683.267187818605"/>
        <n v="47652.517839911365"/>
        <n v="64339.38252207806"/>
        <n v="37346.2800437485"/>
        <n v="54040.422235832404"/>
        <n v="42646.76484307324"/>
        <n v="94538.38258332883"/>
        <n v="14141.907614774436"/>
        <n v="89647.08053735514"/>
        <n v="76321.46709816612"/>
        <n v="31718.531352035716"/>
        <n v="34650.496434997"/>
        <n v="80751.99280524052"/>
        <n v="166922.06654991244"/>
        <n v="3964640.4919583728"/>
        <n v="84373.7228586872"/>
        <n v="18084.16369784979"/>
        <n v="53724.4473097483"/>
        <n v="49961.00926525595"/>
        <n v="132336.0417209627"/>
        <n v="95163.8271719161"/>
        <n v="190610.07135964546"/>
        <n v="50225.353229622386"/>
        <n v="3651901.112726916"/>
        <n v="25562.24018177593"/>
        <n v="56506.96341707203"/>
        <n v="119660.73915158138"/>
        <n v="514911.79393204197"/>
        <n v="102830.47473402502"/>
        <n v="40882.96928634792"/>
        <n v="27788.65465017873"/>
        <n v="22634.9459739579"/>
        <n v="14854.045499291733"/>
        <n v="85073.16967776175"/>
        <n v="193575.86238046692"/>
        <n v="74879.28942136384"/>
        <n v="280000.0"/>
        <n v="495000.0"/>
        <n v="99900.0"/>
        <n v="375000.0"/>
        <n v="129000.0"/>
        <n v="319000.0"/>
        <n v="184900.0"/>
        <n v="199900.0"/>
        <n v="195000.0"/>
        <n v="254900.0"/>
        <n v="200000.0"/>
        <n v="168000.0"/>
        <n v="750000.0"/>
        <n v="130000.0"/>
        <n v="240000.0"/>
        <n v="190000.0"/>
        <n v="182900.0"/>
        <n v="235000.0"/>
        <n v="169900.0"/>
        <n v="394900.0"/>
        <n v="339000.0"/>
        <n v="79900.0"/>
        <n v="595000.0"/>
        <n v="359000.0"/>
        <n v="155000.0"/>
        <n v="77619.66364812419"/>
        <n v="5300119.252683185"/>
        <n v="2152829.355981098"/>
        <n v="8242619.118476813"/>
        <n v="1606664.248555828"/>
        <n v="188769.9196458853"/>
        <n v="1173364.6230566148"/>
        <n v="330114.97640536213"/>
        <n v="545685.7519944814"/>
        <n v="4430660.168365086"/>
        <n v="337699.5565902161"/>
        <n v="364757.1629187868"/>
        <n v="617275.9288378318"/>
        <n v="491199.3550403144"/>
        <n v="1488833.746898263"/>
        <n v="202669.83732367723"/>
        <n v="669692.201661877"/>
        <n v="186709.4963351024"/>
        <n v="173663.37092180518"/>
        <n v="272074.9026014829"/>
        <n v="306999.5969001965"/>
        <n v="97975.80701967841"/>
        <n v="480116.2386683091"/>
        <n v="245599.6775201572"/>
        <n v="221039.70976814147"/>
        <n v="184138.35822073786"/>
        <n v="0.01227998387600786"/>
        <n v="466639.3872882987"/>
        <n v="85959.88713205501"/>
        <n v="1.3248542660307366E7"/>
        <n v="653364.1721222575"/>
        <n v="258499.96348688018"/>
        <n v="982398.7100806287"/>
        <n v="81549.999877675"/>
        <n v="174749.999737875"/>
        <n v="93199.9998602"/>
        <n v="132580.2773579402"/>
        <n v="439117.98086796736"/>
        <n v="122799.8387600786"/>
        <n v="256818.53202527095"/>
        <n v="228922.9658098714"/>
        <n v="214899.71783013755"/>
        <n v="1428015.0590678956"/>
        <n v="147359.8065120943"/>
        <n v="1164994.1732525087"/>
        <n v="1689249.997466125"/>
        <n v="1456249.997815625"/>
        <n v="1223249.998165125"/>
        <n v="1747499.99737875"/>
        <n v="1281499.99807775"/>
        <n v="1729438.8931591085"/>
        <n v="1.5942860786939608E7"/>
        <n v="8070617.90668348"/>
        <n v="1554069.1747271053"/>
        <n v="1.0248526774276199E7"/>
        <n v="1530873.686907507"/>
        <n v="7258330.583965688"/>
        <n v="1.8475750577367205E7"/>
        <n v="1166696.3457842348"/>
        <n v="7045862.157314886"/>
        <n v="2384737.678855326"/>
        <n v="1951977.1639660818"/>
        <n v="1.649620587264929E7"/>
        <n v="192109.4255287812"/>
        <n v="3629165.291982844"/>
        <n v="1097574.3206273937"/>
        <n v="136322.56255258157"/>
        <n v="211976.68256491786"/>
        <n v="89299.38255855488"/>
        <n v="74822.29704451928"/>
        <n v="451924.87717327446"/>
        <n v="182746.15254082417"/>
        <n v="184199.7581401179"/>
        <n v="249000.0"/>
        <n v="895000.0"/>
        <n v="55000.0"/>
        <n v="179900.0"/>
        <n v="47000.0"/>
        <n v="122500.0"/>
        <n v="150000.0"/>
        <n v="80000.0"/>
        <n v="105500.0"/>
        <n v="108000.0"/>
        <n v="51500.0"/>
        <n v="30000.0"/>
        <n v="70000.0"/>
        <n v="325000.0"/>
        <n v="40000.0"/>
        <n v="113500.0"/>
        <n v="61900.0"/>
        <n v="51000.0"/>
        <n v="625000.0"/>
        <n v="465000.0"/>
        <n v="175000.0"/>
        <n v="140000.0"/>
        <n v="1.175E7"/>
        <n v="1200000.0"/>
        <n v="110000.0"/>
        <n v="1000000.0"/>
        <n v="765000.0"/>
        <n v="315000.0"/>
        <n v="705000.0"/>
        <n v="310000.0"/>
        <n v="350000.0"/>
        <n v="475000.0"/>
        <n v="400000.0"/>
        <n v="230000.0"/>
        <n v="277000.0"/>
        <n v="139000.0"/>
        <n v="1148166.0"/>
        <n v="180000.0"/>
        <n v="300000.0"/>
        <n v="135000.0"/>
        <n v="4000000.0"/>
        <n v="95000.0"/>
        <n v="395000.0"/>
        <n v="7600000.0"/>
        <n v="199500.0"/>
        <n v="69900.0"/>
        <n v="207500.0"/>
        <n v="100000.0"/>
        <n v="148000.0"/>
        <n v="120000.0"/>
        <n v="64900.0"/>
        <n v="160000.0"/>
        <n v="232000.0"/>
        <n v="224900.0"/>
        <n v="460000.0"/>
        <n v="337000.0"/>
        <n v="360000.0"/>
        <n v="295000.0"/>
        <n v="1211000.0"/>
        <n v="77500.0"/>
        <n v="75000.0"/>
        <n v="117700.0"/>
        <n v="39000.0"/>
        <n v="73000.0"/>
        <n v="250000.0"/>
        <n v="58000.0"/>
        <n v="145000.0"/>
        <n v="131500.0"/>
        <n v="239900.0"/>
        <n v="2700000.0"/>
        <n v="125000.0"/>
        <n v="499900.0"/>
        <n v="68000.0"/>
        <n v="51830.0"/>
        <n v="20000.0"/>
        <n v="173859.0"/>
        <n v="50000.0"/>
        <n v="128000.0"/>
        <n v="525000.0"/>
        <n v="1100000.0"/>
        <n v="115000.0"/>
        <n v="410000.0"/>
        <n v="162300.0"/>
        <n v="299000.0"/>
        <n v="108500.0"/>
        <n v="164650.0"/>
        <n v="401000.0"/>
        <n v="2200000.0"/>
        <n v="415000.0"/>
        <n v="170500.0"/>
        <n v="330000.0"/>
        <n v="306350.0"/>
        <n v="165900.0"/>
        <n v="600000.0"/>
        <n v="599900.0"/>
        <n v="1215000.0"/>
        <n v="546800.0"/>
        <n v="189000.0"/>
        <n v="285000.0"/>
        <n v="54000.0"/>
        <n v="165000.0"/>
        <n v="459000.0"/>
        <n v="117000.0"/>
        <n v="99000.0"/>
        <n v="127587.0"/>
        <n v="149000.0"/>
        <n v="170000.0"/>
        <n v="32112.0"/>
        <n v="185000.0"/>
        <n v="169000.0"/>
        <n v="27000.0"/>
        <n v="123500.0"/>
        <n v="237900.0"/>
        <n v="164000.0"/>
        <n v="107500.0"/>
        <n v="49000.0"/>
        <n v="126250.0"/>
        <n v="72000.0"/>
        <n v="89500.0"/>
        <n v="209900.0"/>
        <n v="76500.0"/>
        <n v="164900.0"/>
        <n v="65000.0"/>
        <n v="78500.0"/>
        <n v="345000.0"/>
        <n v="262000.0"/>
        <n v="159000.0"/>
        <n v="163000.0"/>
        <n v="114900.0"/>
        <n v="121000.0"/>
        <n v="93000.0"/>
        <n v="303000.0"/>
        <n v="329900.0"/>
        <n v="540000.0"/>
        <n v="209000.0"/>
        <n v="198000.0"/>
        <n v="620000.0"/>
        <n v="236500.0"/>
        <n v="229000.0"/>
        <n v="136000.0"/>
        <n v="699000.0"/>
        <n v="313000.0"/>
        <n v="312500.0"/>
        <n v="215000.0"/>
        <n v="850000.0"/>
        <n v="265000.0"/>
        <n v="849000.0"/>
        <n v="97000.0"/>
        <n v="478664.0"/>
        <n v="440000.0"/>
        <n v="615000.0"/>
        <n v="1350000.0"/>
        <n v="6.5E7"/>
        <n v="6.0E7"/>
        <n v="6.4E7"/>
        <n v="490000.0"/>
        <n v="2.025E8"/>
        <n v="1.25E7"/>
        <n v="3.4E8"/>
        <n v="5.8E7"/>
        <n v="8.75E7"/>
        <n v="1.8E7"/>
        <n v="1.05E8"/>
        <n v="2950000.0"/>
        <n v="4100000.0"/>
        <n v="5.0E7"/>
        <n v="6600000.0"/>
        <n v="9.1113E7"/>
        <n v="3.06E7"/>
        <n v="2.0502E8"/>
        <n v="1.4E7"/>
        <n v="3.45E8"/>
        <n v="2500000.0"/>
        <n v="1.86E7"/>
        <n v="8.1E7"/>
        <n v="2825000.0"/>
        <n v="7100000.0"/>
        <n v="5.4E7"/>
        <n v="5.3E7"/>
        <n v="4.6E7"/>
        <n v="2.3E7"/>
        <n v="3250000.0"/>
        <n v="1.35E8"/>
        <n v="3025000.0"/>
        <n v="536000.0"/>
        <n v="825000.0"/>
        <n v="3330000.0"/>
        <n v="2450000.0"/>
        <n v="227000.0"/>
        <n v="855000.0"/>
        <n v="260000.0"/>
        <n v="385000.0"/>
        <n v="393000.0"/>
        <n v="1300000.0"/>
        <n v="83000.0"/>
        <n v="284000.0"/>
        <n v="104900.0"/>
        <n v="700000.0"/>
        <n v="812500.0"/>
        <n v="202000.0"/>
        <n v="808000.0"/>
        <n v="575000.0"/>
        <n v="249900.0"/>
        <n v="85000.0"/>
        <n v="290000.0"/>
        <n v="179000.0"/>
        <n v="156000.0"/>
        <n v="529900.0"/>
        <n v="144900.0"/>
        <n v="356500.0"/>
        <n v="46500.0"/>
        <n v="1195000.0"/>
        <n v="252500.0"/>
        <n v="162103.0"/>
        <n v="199000.0"/>
        <n v="450000.0"/>
        <n v="189900.0"/>
        <n v="148400.0"/>
        <n v="380000.0"/>
        <n v="399000.0"/>
        <n v="205000.0"/>
        <n v="193000.0"/>
        <n v="89900.0"/>
        <n v="65800.0"/>
        <n v="89250.0"/>
        <n v="219900.0"/>
        <n v="183000.0"/>
        <n v="49900.0"/>
        <n v="227900.0"/>
        <n v="117500.0"/>
        <n v="314000.0"/>
        <n v="98000.0"/>
        <n v="118800.0"/>
        <n v="118000.0"/>
        <n v="222500.0"/>
        <n v="319900.0"/>
        <n v="71000.0"/>
        <n v="67500.0"/>
        <n v="409000.0"/>
        <n v="266000.0"/>
        <n v="188800.0"/>
        <n v="340000.0"/>
        <n v="479000.0"/>
        <n v="413000.0"/>
        <n v="177000.0"/>
        <n v="105000.0"/>
        <n v="115500.0"/>
        <n v="157000.0"/>
        <n v="225000.0"/>
        <n v="169500.0"/>
        <n v="2050000.0"/>
        <n v="585000.0"/>
        <n v="565000.0"/>
        <n v="225400.0"/>
        <n v="255000.0"/>
        <n v="243000.0"/>
        <n v="32000.0"/>
        <n v="71500.0"/>
        <n v="187000.0"/>
        <n v="430000.0"/>
        <n v="399500.0"/>
        <n v="244900.0"/>
        <n v="425000.0"/>
        <n v="220000.0"/>
        <n v="413309.0"/>
        <n v="90000.0"/>
        <n v="289000.0"/>
        <n v="645000.0"/>
        <n v="650000.0"/>
        <n v="355000.0"/>
        <n v="305000.0"/>
        <n v="469000.0"/>
        <n v="649000.0"/>
        <n v="1450000.0"/>
        <n v="545000.0"/>
        <n v="790000.0"/>
        <n v="235739.0"/>
        <n v="33000.0"/>
        <n v="186000.0"/>
        <n v="35000.0"/>
        <n v="245000.0"/>
        <n v="269900.0"/>
        <n v="501000.0"/>
        <n v="192800.0"/>
        <n v="479900.0"/>
        <n v="362000.0"/>
        <n v="83872.0"/>
        <n v="260600.0"/>
        <n v="167500.0"/>
        <n v="82500.0"/>
        <n v="129500.0"/>
        <n v="22000.0"/>
        <n v="365000.0"/>
        <n v="338491.0"/>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tal Sales by Sale Status" cacheId="0" dataCaption="" compact="0" compactData="0">
  <location ref="A1:D83" firstHeaderRow="0" firstDataRow="3" firstDataCol="0"/>
  <pivotFields>
    <pivotField name="Timestam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t="default"/>
      </items>
    </pivotField>
    <pivotField name="Property Type" axis="axisRow" compact="0" outline="0" multipleItemSelectionAllowed="1" showAll="0" sortType="ascending">
      <items>
        <item x="15"/>
        <item x="6"/>
        <item x="2"/>
        <item x="9"/>
        <item x="3"/>
        <item x="14"/>
        <item x="13"/>
        <item x="7"/>
        <item x="5"/>
        <item x="0"/>
        <item x="4"/>
        <item x="11"/>
        <item x="10"/>
        <item sd="0" x="12"/>
        <item x="1"/>
        <item x="8"/>
        <item t="default"/>
      </items>
    </pivotField>
    <pivotField name="Building / Street Numbe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t="default"/>
      </items>
    </pivotField>
    <pivotField name="Street 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t="default"/>
      </items>
    </pivotField>
    <pivotField name="Municipality / City / Subur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State / Provi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 name="Post Code / Zip 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t="default"/>
      </items>
    </pivotField>
    <pivotField name="Country" axis="axisRow" compact="0" outline="0" multipleItemSelectionAllowed="1" showAll="0" sortType="ascending">
      <items>
        <item x="29"/>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Sales Status" axis="axisRow" compact="0" outline="0" multipleItemSelectionAllowed="1" showAll="0" sortType="ascending">
      <items>
        <item h="1" x="2"/>
        <item x="0"/>
        <item x="1"/>
        <item t="default"/>
      </items>
    </pivotField>
    <pivotField name="Sale / Asking Amount" compact="0" numFmtId="3"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t="default"/>
      </items>
    </pivotField>
    <pivotField name="Sale Currency" compact="0" outline="0" multipleItemSelectionAllowed="1" showAll="0">
      <items>
        <item x="0"/>
        <item x="1"/>
        <item x="2"/>
        <item x="3"/>
        <item x="4"/>
        <item x="5"/>
        <item x="6"/>
        <item x="7"/>
        <item x="8"/>
        <item x="9"/>
        <item x="10"/>
        <item x="11"/>
        <item x="12"/>
        <item x="13"/>
        <item x="14"/>
        <item x="15"/>
        <item x="16"/>
        <item x="17"/>
        <item x="18"/>
        <item t="default"/>
      </items>
    </pivotField>
    <pivotField name="Date of Sale / Listing"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t="default"/>
      </items>
    </pivotField>
    <pivotField name="Property Listing Link"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Comment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t="default"/>
      </items>
    </pivotField>
    <pivotField name="Year of Sale" compact="0" outline="0" multipleItemSelectionAllowed="1" showAll="0">
      <items>
        <item x="0"/>
        <item x="1"/>
        <item x="2"/>
        <item x="3"/>
        <item x="4"/>
        <item x="5"/>
        <item x="6"/>
        <item x="7"/>
        <item x="8"/>
        <item x="9"/>
        <item x="10"/>
        <item x="11"/>
        <item x="12"/>
        <item x="13"/>
        <item x="14"/>
        <item x="15"/>
        <item x="16"/>
        <item x="17"/>
        <item x="18"/>
        <item x="19"/>
        <item t="default"/>
      </items>
    </pivotField>
    <pivotField name="Currency Code" compact="0" outline="0" multipleItemSelectionAllowed="1" showAll="0">
      <items>
        <item x="0"/>
        <item x="1"/>
        <item x="2"/>
        <item x="3"/>
        <item x="4"/>
        <item x="5"/>
        <item x="6"/>
        <item x="7"/>
        <item x="8"/>
        <item x="9"/>
        <item x="10"/>
        <item x="11"/>
        <item x="12"/>
        <item x="13"/>
        <item x="14"/>
        <item x="15"/>
        <item x="16"/>
        <item x="17"/>
        <item x="18"/>
        <item t="default"/>
      </items>
    </pivotField>
    <pivotField name="Exchange R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t="default"/>
      </items>
    </pivotField>
    <pivotField name="USD Value"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t="default"/>
      </items>
    </pivotField>
  </pivotFields>
  <rowFields>
    <field x="8"/>
    <field x="1"/>
    <field x="7"/>
  </rowFields>
  <dataFields>
    <dataField name="SUM of USD Value" fld="17" baseField="0"/>
  </dataFields>
</pivotTableDefinition>
</file>

<file path=xl/pivotTables/pivotTable2.xml><?xml version="1.0" encoding="utf-8"?>
<pivotTableDefinition xmlns="http://schemas.openxmlformats.org/spreadsheetml/2006/main" name="Total Sales by Country per Year" cacheId="0" dataCaption="" compact="0" compactData="0">
  <location ref="A3:U34" firstHeaderRow="0" firstDataRow="1" firstDataCol="1" rowPageCount="1" colPageCount="1"/>
  <pivotFields>
    <pivotField name="Timestam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t="default"/>
      </items>
    </pivotField>
    <pivotField name="Property Type" compact="0" outline="0" multipleItemSelectionAllowed="1" showAll="0">
      <items>
        <item x="0"/>
        <item x="1"/>
        <item x="2"/>
        <item x="3"/>
        <item x="4"/>
        <item x="5"/>
        <item x="6"/>
        <item x="7"/>
        <item x="8"/>
        <item x="9"/>
        <item x="10"/>
        <item x="11"/>
        <item x="12"/>
        <item x="13"/>
        <item x="14"/>
        <item x="15"/>
        <item t="default"/>
      </items>
    </pivotField>
    <pivotField name="Building / Street Numbe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t="default"/>
      </items>
    </pivotField>
    <pivotField name="Street 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t="default"/>
      </items>
    </pivotField>
    <pivotField name="Municipality / City / Subur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State / Provi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 name="Post Code / Zip 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t="default"/>
      </items>
    </pivotField>
    <pivotField name="Country" axis="axisRow" compact="0" outline="0" multipleItemSelectionAllowed="1" showAll="0" sortType="ascending">
      <items>
        <item x="29"/>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Sales Status" axis="axisPage" compact="0" outline="0" multipleItemSelectionAllowed="1" showAll="0">
      <items>
        <item x="0"/>
        <item x="1"/>
        <item h="1" x="2"/>
        <item t="default"/>
      </items>
    </pivotField>
    <pivotField name="Sale / Asking Amount" compact="0" numFmtId="3"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t="default"/>
      </items>
    </pivotField>
    <pivotField name="Sale Currency" compact="0" outline="0" multipleItemSelectionAllowed="1" showAll="0">
      <items>
        <item x="0"/>
        <item x="1"/>
        <item x="2"/>
        <item x="3"/>
        <item x="4"/>
        <item x="5"/>
        <item x="6"/>
        <item x="7"/>
        <item x="8"/>
        <item x="9"/>
        <item x="10"/>
        <item x="11"/>
        <item x="12"/>
        <item x="13"/>
        <item x="14"/>
        <item x="15"/>
        <item x="16"/>
        <item x="17"/>
        <item x="18"/>
        <item t="default"/>
      </items>
    </pivotField>
    <pivotField name="Date of Sale / Listing"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t="default"/>
      </items>
    </pivotField>
    <pivotField name="Property Listing Link"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Comment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t="default"/>
      </items>
    </pivotField>
    <pivotField name="Year of Sale" axis="axisCol" compact="0" outline="0" multipleItemSelectionAllowed="1" showAll="0" sortType="ascending">
      <items>
        <item x="19"/>
        <item x="18"/>
        <item x="14"/>
        <item x="12"/>
        <item x="16"/>
        <item x="10"/>
        <item x="17"/>
        <item x="6"/>
        <item x="13"/>
        <item x="5"/>
        <item x="9"/>
        <item x="11"/>
        <item x="15"/>
        <item x="7"/>
        <item x="2"/>
        <item x="4"/>
        <item x="8"/>
        <item x="1"/>
        <item x="3"/>
        <item x="0"/>
        <item t="default"/>
      </items>
    </pivotField>
    <pivotField name="Currency Code" compact="0" outline="0" multipleItemSelectionAllowed="1" showAll="0">
      <items>
        <item x="0"/>
        <item x="1"/>
        <item x="2"/>
        <item x="3"/>
        <item x="4"/>
        <item x="5"/>
        <item x="6"/>
        <item x="7"/>
        <item x="8"/>
        <item x="9"/>
        <item x="10"/>
        <item x="11"/>
        <item x="12"/>
        <item x="13"/>
        <item x="14"/>
        <item x="15"/>
        <item x="16"/>
        <item x="17"/>
        <item x="18"/>
        <item t="default"/>
      </items>
    </pivotField>
    <pivotField name="Exchange R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t="default"/>
      </items>
    </pivotField>
    <pivotField name="USD Value"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t="default"/>
      </items>
    </pivotField>
  </pivotFields>
  <rowFields>
    <field x="7"/>
  </rowFields>
  <colFields>
    <field x="14"/>
  </colFields>
  <pageFields>
    <pageField fld="8"/>
  </pageFields>
  <dataFields>
    <dataField name="SUM of USD Value" fld="17" baseField="0"/>
  </dataFields>
</pivotTableDefinition>
</file>

<file path=xl/pivotTables/pivotTable3.xml><?xml version="1.0" encoding="utf-8"?>
<pivotTableDefinition xmlns="http://schemas.openxmlformats.org/spreadsheetml/2006/main" name="Total USA KH Sale Portfolio by " cacheId="0" dataCaption="" rowGrandTotals="0" compact="0" compactData="0">
  <location ref="A6:V50" firstHeaderRow="0" firstDataRow="2" firstDataCol="1" rowPageCount="2" colPageCount="1"/>
  <pivotFields>
    <pivotField name="Timestam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t="default"/>
      </items>
    </pivotField>
    <pivotField name="Property Type" axis="axisPage" compact="0" outline="0" multipleItemSelectionAllowed="1" showAll="0">
      <items>
        <item x="0"/>
        <item x="1"/>
        <item x="2"/>
        <item h="1" x="3"/>
        <item x="4"/>
        <item x="5"/>
        <item x="6"/>
        <item x="7"/>
        <item x="8"/>
        <item x="9"/>
        <item x="10"/>
        <item x="11"/>
        <item x="12"/>
        <item x="13"/>
        <item x="14"/>
        <item x="15"/>
        <item t="default"/>
      </items>
    </pivotField>
    <pivotField name="Building / Street Numbe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t="default"/>
      </items>
    </pivotField>
    <pivotField name="Street 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t="default"/>
      </items>
    </pivotField>
    <pivotField name="Municipality / City / Subur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State / Province" axis="axisRow" compact="0" outline="0" multipleItemSelectionAllowed="1" showAll="0" sortType="ascending">
      <items>
        <item x="1"/>
        <item x="83"/>
        <item x="12"/>
        <item x="2"/>
        <item x="105"/>
        <item x="106"/>
        <item x="107"/>
        <item x="84"/>
        <item x="108"/>
        <item x="20"/>
        <item x="13"/>
        <item x="11"/>
        <item x="85"/>
        <item x="40"/>
        <item x="86"/>
        <item x="41"/>
        <item x="109"/>
        <item x="35"/>
        <item x="80"/>
        <item x="42"/>
        <item x="87"/>
        <item x="43"/>
        <item x="110"/>
        <item x="77"/>
        <item x="34"/>
        <item x="88"/>
        <item x="111"/>
        <item x="112"/>
        <item x="113"/>
        <item x="44"/>
        <item x="45"/>
        <item x="46"/>
        <item x="89"/>
        <item x="21"/>
        <item x="90"/>
        <item x="22"/>
        <item x="18"/>
        <item x="114"/>
        <item x="23"/>
        <item x="115"/>
        <item x="116"/>
        <item x="117"/>
        <item x="118"/>
        <item x="91"/>
        <item x="47"/>
        <item x="48"/>
        <item x="92"/>
        <item x="49"/>
        <item x="24"/>
        <item x="50"/>
        <item x="33"/>
        <item x="119"/>
        <item x="120"/>
        <item x="121"/>
        <item x="25"/>
        <item x="51"/>
        <item x="52"/>
        <item x="93"/>
        <item x="36"/>
        <item x="53"/>
        <item x="54"/>
        <item x="55"/>
        <item x="122"/>
        <item x="56"/>
        <item x="57"/>
        <item x="58"/>
        <item x="123"/>
        <item x="124"/>
        <item x="0"/>
        <item x="125"/>
        <item x="94"/>
        <item x="59"/>
        <item x="126"/>
        <item x="127"/>
        <item x="129"/>
        <item x="128"/>
        <item x="130"/>
        <item x="14"/>
        <item x="10"/>
        <item x="26"/>
        <item x="132"/>
        <item x="131"/>
        <item x="27"/>
        <item x="95"/>
        <item x="60"/>
        <item x="3"/>
        <item x="133"/>
        <item x="134"/>
        <item x="28"/>
        <item x="135"/>
        <item x="136"/>
        <item x="61"/>
        <item x="15"/>
        <item x="16"/>
        <item x="137"/>
        <item x="62"/>
        <item x="96"/>
        <item x="138"/>
        <item x="63"/>
        <item x="64"/>
        <item x="78"/>
        <item x="65"/>
        <item x="66"/>
        <item x="4"/>
        <item x="37"/>
        <item x="67"/>
        <item x="5"/>
        <item x="29"/>
        <item x="139"/>
        <item x="30"/>
        <item x="31"/>
        <item x="140"/>
        <item x="68"/>
        <item x="69"/>
        <item x="19"/>
        <item x="17"/>
        <item x="97"/>
        <item x="98"/>
        <item x="32"/>
        <item x="99"/>
        <item x="38"/>
        <item x="70"/>
        <item x="6"/>
        <item x="82"/>
        <item x="141"/>
        <item x="142"/>
        <item x="100"/>
        <item x="81"/>
        <item x="143"/>
        <item x="7"/>
        <item x="8"/>
        <item x="71"/>
        <item x="9"/>
        <item x="101"/>
        <item x="72"/>
        <item x="39"/>
        <item x="102"/>
        <item x="103"/>
        <item x="73"/>
        <item x="144"/>
        <item x="104"/>
        <item x="145"/>
        <item x="146"/>
        <item x="79"/>
        <item x="74"/>
        <item x="75"/>
        <item x="76"/>
        <item t="default"/>
      </items>
    </pivotField>
    <pivotField name="Post Code / Zip 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t="default"/>
      </items>
    </pivotField>
    <pivotField name="Country" axis="axisRow" compact="0" outline="0" multipleItemSelectionAllowed="1" showAll="0" sortType="ascending" defaultSubtotal="0">
      <items>
        <item h="1" x="29"/>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s>
    </pivotField>
    <pivotField name="Sales Status" axis="axisPage" compact="0" outline="0" multipleItemSelectionAllowed="1" showAll="0">
      <items>
        <item x="0"/>
        <item x="1"/>
        <item h="1" x="2"/>
        <item t="default"/>
      </items>
    </pivotField>
    <pivotField name="Sale / Asking Amount" compact="0" numFmtId="3"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t="default"/>
      </items>
    </pivotField>
    <pivotField name="Sale Currency" compact="0" outline="0" multipleItemSelectionAllowed="1" showAll="0">
      <items>
        <item x="0"/>
        <item x="1"/>
        <item x="2"/>
        <item x="3"/>
        <item x="4"/>
        <item x="5"/>
        <item x="6"/>
        <item x="7"/>
        <item x="8"/>
        <item x="9"/>
        <item x="10"/>
        <item x="11"/>
        <item x="12"/>
        <item x="13"/>
        <item x="14"/>
        <item x="15"/>
        <item x="16"/>
        <item x="17"/>
        <item x="18"/>
        <item t="default"/>
      </items>
    </pivotField>
    <pivotField name="Date of Sale / Listing"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t="default"/>
      </items>
    </pivotField>
    <pivotField name="Property Listing Link"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Comment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t="default"/>
      </items>
    </pivotField>
    <pivotField name="Year of Sale" axis="axisCol" compact="0" outline="0" multipleItemSelectionAllowed="1" showAll="0" sortType="ascending">
      <items>
        <item x="19"/>
        <item x="18"/>
        <item x="14"/>
        <item x="12"/>
        <item x="16"/>
        <item x="10"/>
        <item x="17"/>
        <item x="6"/>
        <item x="13"/>
        <item x="5"/>
        <item x="9"/>
        <item x="11"/>
        <item x="15"/>
        <item x="7"/>
        <item x="2"/>
        <item x="4"/>
        <item x="8"/>
        <item x="1"/>
        <item x="3"/>
        <item x="0"/>
        <item t="default"/>
      </items>
    </pivotField>
    <pivotField name="Currency Code" compact="0" outline="0" multipleItemSelectionAllowed="1" showAll="0">
      <items>
        <item x="0"/>
        <item x="1"/>
        <item x="2"/>
        <item x="3"/>
        <item x="4"/>
        <item x="5"/>
        <item x="6"/>
        <item x="7"/>
        <item x="8"/>
        <item x="9"/>
        <item x="10"/>
        <item x="11"/>
        <item x="12"/>
        <item x="13"/>
        <item x="14"/>
        <item x="15"/>
        <item x="16"/>
        <item x="17"/>
        <item x="18"/>
        <item t="default"/>
      </items>
    </pivotField>
    <pivotField name="Exchange R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t="default"/>
      </items>
    </pivotField>
    <pivotField name="USD Value"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t="default"/>
      </items>
    </pivotField>
  </pivotFields>
  <rowFields>
    <field x="7"/>
    <field x="5"/>
  </rowFields>
  <colFields>
    <field x="14"/>
  </colFields>
  <pageFields>
    <pageField fld="8"/>
    <pageField fld="1"/>
  </pageFields>
  <dataFields>
    <dataField name="SUM of USD Value" fld="17" baseField="0"/>
  </dataFields>
</pivotTableDefinition>
</file>

<file path=xl/pivotTables/pivotTable4.xml><?xml version="1.0" encoding="utf-8"?>
<pivotTableDefinition xmlns="http://schemas.openxmlformats.org/spreadsheetml/2006/main" name="Total World KH Sale Portfolio b" cacheId="0" dataCaption="" compact="0" compactData="0">
  <location ref="A6:U32" firstHeaderRow="0" firstDataRow="1" firstDataCol="1" rowPageCount="2" colPageCount="1"/>
  <pivotFields>
    <pivotField name="Timestamp" compact="0" numFmtId="165"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t="default"/>
      </items>
    </pivotField>
    <pivotField name="Property Type" axis="axisPage" compact="0" outline="0" multipleItemSelectionAllowed="1" showAll="0">
      <items>
        <item x="0"/>
        <item x="1"/>
        <item x="2"/>
        <item h="1" x="3"/>
        <item x="4"/>
        <item x="5"/>
        <item x="6"/>
        <item x="7"/>
        <item x="8"/>
        <item x="9"/>
        <item x="10"/>
        <item x="11"/>
        <item x="12"/>
        <item x="13"/>
        <item x="14"/>
        <item x="15"/>
        <item t="default"/>
      </items>
    </pivotField>
    <pivotField name="Building / Street Numbe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t="default"/>
      </items>
    </pivotField>
    <pivotField name="Street 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t="default"/>
      </items>
    </pivotField>
    <pivotField name="Municipality / City / Suburb"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State / Provinc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t="default"/>
      </items>
    </pivotField>
    <pivotField name="Post Code / Zip Cod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t="default"/>
      </items>
    </pivotField>
    <pivotField name="Country" axis="axisRow" compact="0" outline="0" multipleItemSelectionAllowed="1" showAll="0" sortType="ascending">
      <items>
        <item x="29"/>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Sales Status" axis="axisPage" compact="0" outline="0" multipleItemSelectionAllowed="1" showAll="0">
      <items>
        <item x="0"/>
        <item x="1"/>
        <item h="1" x="2"/>
        <item t="default"/>
      </items>
    </pivotField>
    <pivotField name="Sale / Asking Amount" compact="0" numFmtId="3"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t="default"/>
      </items>
    </pivotField>
    <pivotField name="Sale Currency" compact="0" outline="0" multipleItemSelectionAllowed="1" showAll="0">
      <items>
        <item x="0"/>
        <item x="1"/>
        <item x="2"/>
        <item x="3"/>
        <item x="4"/>
        <item x="5"/>
        <item x="6"/>
        <item x="7"/>
        <item x="8"/>
        <item x="9"/>
        <item x="10"/>
        <item x="11"/>
        <item x="12"/>
        <item x="13"/>
        <item x="14"/>
        <item x="15"/>
        <item x="16"/>
        <item x="17"/>
        <item x="18"/>
        <item t="default"/>
      </items>
    </pivotField>
    <pivotField name="Date of Sale / Listing"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t="default"/>
      </items>
    </pivotField>
    <pivotField name="Property Listing Link"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t="default"/>
      </items>
    </pivotField>
    <pivotField name="Comment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t="default"/>
      </items>
    </pivotField>
    <pivotField name="Year of Sale" axis="axisCol" compact="0" outline="0" multipleItemSelectionAllowed="1" showAll="0" sortType="ascending">
      <items>
        <item x="19"/>
        <item x="18"/>
        <item x="14"/>
        <item x="12"/>
        <item x="16"/>
        <item x="10"/>
        <item x="17"/>
        <item x="6"/>
        <item x="13"/>
        <item x="5"/>
        <item x="9"/>
        <item x="11"/>
        <item x="15"/>
        <item x="7"/>
        <item x="2"/>
        <item x="4"/>
        <item x="8"/>
        <item x="1"/>
        <item x="3"/>
        <item x="0"/>
        <item t="default"/>
      </items>
    </pivotField>
    <pivotField name="Currency Code" compact="0" outline="0" multipleItemSelectionAllowed="1" showAll="0">
      <items>
        <item x="0"/>
        <item x="1"/>
        <item x="2"/>
        <item x="3"/>
        <item x="4"/>
        <item x="5"/>
        <item x="6"/>
        <item x="7"/>
        <item x="8"/>
        <item x="9"/>
        <item x="10"/>
        <item x="11"/>
        <item x="12"/>
        <item x="13"/>
        <item x="14"/>
        <item x="15"/>
        <item x="16"/>
        <item x="17"/>
        <item x="18"/>
        <item t="default"/>
      </items>
    </pivotField>
    <pivotField name="Exchange Rat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t="default"/>
      </items>
    </pivotField>
    <pivotField name="USD Value"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t="default"/>
      </items>
    </pivotField>
  </pivotFields>
  <rowFields>
    <field x="7"/>
  </rowFields>
  <colFields>
    <field x="14"/>
  </colFields>
  <pageFields>
    <pageField fld="8"/>
    <pageField fld="1"/>
  </pageFields>
  <dataFields>
    <dataField name="SUM of USD Value" fld="17"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ibsaproperty.com/properties/st-johns/47-grace-bartlett-gardens/" TargetMode="External"/><Relationship Id="rId194" Type="http://schemas.openxmlformats.org/officeDocument/2006/relationships/hyperlink" Target="https://ibsaproperty.com/properties/st-johns/55-grace-bartlett-gardens/" TargetMode="External"/><Relationship Id="rId193" Type="http://schemas.openxmlformats.org/officeDocument/2006/relationships/hyperlink" Target="https://ibsaproperty.com/properties/st-johns/53-grace-bartlett-gardens/" TargetMode="External"/><Relationship Id="rId192" Type="http://schemas.openxmlformats.org/officeDocument/2006/relationships/hyperlink" Target="https://ibsaproperty.com/properties/st-johns/51-grace-bartlett-gardens/" TargetMode="External"/><Relationship Id="rId191" Type="http://schemas.openxmlformats.org/officeDocument/2006/relationships/hyperlink" Target="https://ibsaproperty.com/properties/st-johns/49-grace-bartlett-gardens/" TargetMode="External"/><Relationship Id="rId187" Type="http://schemas.openxmlformats.org/officeDocument/2006/relationships/hyperlink" Target="https://ibsaproperty.com/properties/st-johns/41-grace-bartlett-gardens/" TargetMode="External"/><Relationship Id="rId186" Type="http://schemas.openxmlformats.org/officeDocument/2006/relationships/hyperlink" Target="https://ibsaproperty.com/properties/st-johns/39-grace-bartlett-gardens/" TargetMode="External"/><Relationship Id="rId185" Type="http://schemas.openxmlformats.org/officeDocument/2006/relationships/hyperlink" Target="https://ibsaproperty.com/properties/st-johns/37-grace-bartlett-gardens/" TargetMode="External"/><Relationship Id="rId184" Type="http://schemas.openxmlformats.org/officeDocument/2006/relationships/hyperlink" Target="https://propertylink.estatesgazette.com/property-details/6550543-kingdom-hall-68-idle-road-bradford-bd2-4nh" TargetMode="External"/><Relationship Id="rId189" Type="http://schemas.openxmlformats.org/officeDocument/2006/relationships/hyperlink" Target="https://ibsaproperty.com/properties/st-johns/45-grace-bartlett-gardens/" TargetMode="External"/><Relationship Id="rId188" Type="http://schemas.openxmlformats.org/officeDocument/2006/relationships/hyperlink" Target="https://ibsaproperty.com/properties/st-johns/43-grace-bartlett-gardens/" TargetMode="External"/><Relationship Id="rId183" Type="http://schemas.openxmlformats.org/officeDocument/2006/relationships/hyperlink" Target="https://www.rightmove.co.uk/commercial-property-for-sale/property-88308047.html" TargetMode="External"/><Relationship Id="rId182" Type="http://schemas.openxmlformats.org/officeDocument/2006/relationships/hyperlink" Target="https://www.philiptweedie.com/property-detail/?prop=9633" TargetMode="External"/><Relationship Id="rId181" Type="http://schemas.openxmlformats.org/officeDocument/2006/relationships/hyperlink" Target="https://media.onthemarket.com/properties/5635916/685401394/document-0.pdf" TargetMode="External"/><Relationship Id="rId180" Type="http://schemas.openxmlformats.org/officeDocument/2006/relationships/hyperlink" Target="https://www.andrew-grant.co.uk/properties/12464620/sales" TargetMode="External"/><Relationship Id="rId176" Type="http://schemas.openxmlformats.org/officeDocument/2006/relationships/hyperlink" Target="https://beta.charitycommission.gov.uk/charity-details/?regid=1066136&amp;subid=0" TargetMode="External"/><Relationship Id="rId175" Type="http://schemas.openxmlformats.org/officeDocument/2006/relationships/hyperlink" Target="https://themovemarket.com/tools/propertyprices/kingdom-hall-of-jehovahs-witnesses-bridge-street-stourbridge-dudley-west-midlands-dy8-5yx" TargetMode="External"/><Relationship Id="rId174" Type="http://schemas.openxmlformats.org/officeDocument/2006/relationships/hyperlink" Target="https://www.commercialpropertyplace.co.uk/properties/506453/" TargetMode="External"/><Relationship Id="rId173" Type="http://schemas.openxmlformats.org/officeDocument/2006/relationships/hyperlink" Target="https://www.zoopla.co.uk/property/25-windmill-road/thame/ox9-2dr/32875445" TargetMode="External"/><Relationship Id="rId179" Type="http://schemas.openxmlformats.org/officeDocument/2006/relationships/hyperlink" Target="https://www.astleys.net/commercial/properties/kingdom-hall-roman-road-neath-west-glamorgan/" TargetMode="External"/><Relationship Id="rId178" Type="http://schemas.openxmlformats.org/officeDocument/2006/relationships/hyperlink" Target="https://www.onthemarket.com/details/4601620/" TargetMode="External"/><Relationship Id="rId177" Type="http://schemas.openxmlformats.org/officeDocument/2006/relationships/hyperlink" Target="https://images1.loopnet.com/d2/HPnmwpLblxDyP2qRJZ27F416tM3MLiWyf2l9_icdXIU/document.pdf" TargetMode="External"/><Relationship Id="rId198" Type="http://schemas.openxmlformats.org/officeDocument/2006/relationships/hyperlink" Target="https://ibsaproperty.com/properties/st-johns/63-grace-bartlett-gardens/" TargetMode="External"/><Relationship Id="rId197" Type="http://schemas.openxmlformats.org/officeDocument/2006/relationships/hyperlink" Target="https://ibsaproperty.com/properties/st-johns/61-grace-bartlett-gardens/" TargetMode="External"/><Relationship Id="rId196" Type="http://schemas.openxmlformats.org/officeDocument/2006/relationships/hyperlink" Target="https://ibsaproperty.com/properties/st-johns/59-grace-bartlett-gardens/" TargetMode="External"/><Relationship Id="rId195" Type="http://schemas.openxmlformats.org/officeDocument/2006/relationships/hyperlink" Target="https://ibsaproperty.com/properties/st-johns/57-grace-bartlett-gardens/" TargetMode="External"/><Relationship Id="rId199" Type="http://schemas.openxmlformats.org/officeDocument/2006/relationships/hyperlink" Target="https://ibsaproperty.com/properties/st-johns/49-mary-munnion-quarter/" TargetMode="External"/><Relationship Id="rId150" Type="http://schemas.openxmlformats.org/officeDocument/2006/relationships/hyperlink" Target="https://www.clasificadosonline.com/m/PartnerListingM.asp?ID=32172&amp;CID=1&amp;fbclid=IwAR27qNW_vh-raLkl4kKFNNlwJ6a_fjncdD1fg0--C0b00vVWe_RQ_kM-SPM" TargetMode="External"/><Relationship Id="rId392" Type="http://schemas.openxmlformats.org/officeDocument/2006/relationships/hyperlink" Target="https://www.longandfoster.com/homes-for-sale/1400-Weyburn-Road-Rosedale-MD-21237-253485447" TargetMode="External"/><Relationship Id="rId391" Type="http://schemas.openxmlformats.org/officeDocument/2006/relationships/hyperlink" Target="https://www.coldwellbankerhomes.com/md/laurel/9805-lyon-avenue/pid_20494740/" TargetMode="External"/><Relationship Id="rId390" Type="http://schemas.openxmlformats.org/officeDocument/2006/relationships/hyperlink" Target="https://www.zillow.com/homedetails/10300-Country-Club-Rd-NE-Cumberland-MD-21502/2139458548_zpid/" TargetMode="External"/><Relationship Id="rId1" Type="http://schemas.openxmlformats.org/officeDocument/2006/relationships/comments" Target="../comments1.xml"/><Relationship Id="rId2" Type="http://schemas.openxmlformats.org/officeDocument/2006/relationships/hyperlink" Target="https://casa.mercadolibre.com.ar/MLA-854740182-se-vende-propiedad-en-alejandro-suarez-maipu-_JM" TargetMode="External"/><Relationship Id="rId3" Type="http://schemas.openxmlformats.org/officeDocument/2006/relationships/hyperlink" Target="https://casa.mercadolibre.com.ar/MLA-840744102-se-vende-inmueble-en-tropero-sosa-maipu-_JM" TargetMode="External"/><Relationship Id="rId149" Type="http://schemas.openxmlformats.org/officeDocument/2006/relationships/hyperlink" Target="https://www.clasificadosonline.com/m/PartnerListingM.asp?ID=32172&amp;CID=1&amp;fbclid=IwAR27qNW_vh-raLkl4kKFNNlwJ6a_fjncdD1fg0--C0b00vVWe_RQ_kM-SPM" TargetMode="External"/><Relationship Id="rId4" Type="http://schemas.openxmlformats.org/officeDocument/2006/relationships/hyperlink" Target="https://www.commercialrealestate.com.au/property/17-whittle-street-hughes-act-2605-2014768496" TargetMode="External"/><Relationship Id="rId148" Type="http://schemas.openxmlformats.org/officeDocument/2006/relationships/hyperlink" Target="https://www.clasificadosonline.com/m/PartnerListingM.asp?ID=32172&amp;CID=1&amp;fbclid=IwAR27qNW_vh-raLkl4kKFNNlwJ6a_fjncdD1fg0--C0b00vVWe_RQ_kM-SPM" TargetMode="External"/><Relationship Id="rId9" Type="http://schemas.openxmlformats.org/officeDocument/2006/relationships/hyperlink" Target="https://www.austlii.edu.au/cgi-bin/viewdoc/au/cases/nsw/NSWLEC/2017/1535.html?context=1;query=jehovahs%20witnesses;mask_path=&amp;fbclid=IwAR2sMclo28G6qFXEm8nBWetiXP5YWflAdFvQ89519c-UHruXOZ2O1GkeC2k" TargetMode="External"/><Relationship Id="rId143" Type="http://schemas.openxmlformats.org/officeDocument/2006/relationships/hyperlink" Target="https://www.youtube.com/watch?v=OfGj2EJGsd8" TargetMode="External"/><Relationship Id="rId385" Type="http://schemas.openxmlformats.org/officeDocument/2006/relationships/hyperlink" Target="https://www.longandfoster.com/homes-for-sale/3627-Greenmount-Avenue-Baltimore-MD-21218-254525915" TargetMode="External"/><Relationship Id="rId142" Type="http://schemas.openxmlformats.org/officeDocument/2006/relationships/hyperlink" Target="https://totalcommercial.com/listings/58680?where%5Buser.id%5D=16932&amp;territory=41&amp;propertyType=all" TargetMode="External"/><Relationship Id="rId384" Type="http://schemas.openxmlformats.org/officeDocument/2006/relationships/hyperlink" Target="https://www.xome.com/realestate/1984-westfield-st-west-springfield-ma-01089-146829317" TargetMode="External"/><Relationship Id="rId141" Type="http://schemas.openxmlformats.org/officeDocument/2006/relationships/hyperlink" Target="https://totalcommercial.com/listings/58049?where%5Buser.id%5D=16932&amp;territory=41&amp;propertyType=all" TargetMode="External"/><Relationship Id="rId383" Type="http://schemas.openxmlformats.org/officeDocument/2006/relationships/hyperlink" Target="https://www.realtor.com/realestateandhomes-detail/187-Stuart-St_Springfield_MA_01119_M37900-04846" TargetMode="External"/><Relationship Id="rId140" Type="http://schemas.openxmlformats.org/officeDocument/2006/relationships/hyperlink" Target="https://youtu.be/Z486x0Bxycs" TargetMode="External"/><Relationship Id="rId382" Type="http://schemas.openxmlformats.org/officeDocument/2006/relationships/hyperlink" Target="https://www.coldwellbankerhomes.com/ma/southbridge/700-worcester-st/pid_29702832/" TargetMode="External"/><Relationship Id="rId5" Type="http://schemas.openxmlformats.org/officeDocument/2006/relationships/hyperlink" Target="https://www.realestate.com.au/property/46-berkeley-rd-berkeley-nsw-2506" TargetMode="External"/><Relationship Id="rId147" Type="http://schemas.openxmlformats.org/officeDocument/2006/relationships/hyperlink" Target="https://www.clasificadosonline.com/m/PartnerListingM.asp?ID=32172&amp;CID=1&amp;fbclid=IwAR27qNW_vh-raLkl4kKFNNlwJ6a_fjncdD1fg0--C0b00vVWe_RQ_kM-SPM" TargetMode="External"/><Relationship Id="rId389" Type="http://schemas.openxmlformats.org/officeDocument/2006/relationships/hyperlink" Target="https://www.trulia.com/p/md/catonsville/1928-powers-ln-catonsville-md-21228--2127062052" TargetMode="External"/><Relationship Id="rId6" Type="http://schemas.openxmlformats.org/officeDocument/2006/relationships/hyperlink" Target="https://www.domain.com.au/10-cooper-close-lennox-head-nsw-2478-2016233433" TargetMode="External"/><Relationship Id="rId146" Type="http://schemas.openxmlformats.org/officeDocument/2006/relationships/hyperlink" Target="https://www.clasificadosonline.com/m/PartnerListingM.asp?ID=32172&amp;CID=1&amp;fbclid=IwAR27qNW_vh-raLkl4kKFNNlwJ6a_fjncdD1fg0--C0b00vVWe_RQ_kM-SPM" TargetMode="External"/><Relationship Id="rId388" Type="http://schemas.openxmlformats.org/officeDocument/2006/relationships/hyperlink" Target="https://www.coldwellbankerhomes.com/md/capitol-heights/6107-seat-pleasant-drive/pid_24577238/" TargetMode="External"/><Relationship Id="rId7" Type="http://schemas.openxmlformats.org/officeDocument/2006/relationships/hyperlink" Target="https://www.realestate.com.au/sold/property-house-nsw-macksville-128070634" TargetMode="External"/><Relationship Id="rId145" Type="http://schemas.openxmlformats.org/officeDocument/2006/relationships/hyperlink" Target="https://totalcommercial.com/listings/56471?where%5Buser.id%5D=16932&amp;territory=41&amp;propertyType=all" TargetMode="External"/><Relationship Id="rId387" Type="http://schemas.openxmlformats.org/officeDocument/2006/relationships/hyperlink" Target="https://www.google.com/maps/place/609+Governors+Ave,+Cambridge,+MD+21613/@38.5553968,-76.0859252,3a,75y,358.57h,90t/data=!3m6!1e1!3m4!1sX_UqaA4D9E97Uvox1uRyKQ!2e0!7i16384!8i8192!4m5!3m4!1s0x89b835f6268972c9:0x273f6bf679608080!8m2!3d38.555471!4d-76.085901" TargetMode="External"/><Relationship Id="rId8" Type="http://schemas.openxmlformats.org/officeDocument/2006/relationships/hyperlink" Target="https://www.domain.com.au/property-profile/91-larmer-street-narrandera-nsw-2700" TargetMode="External"/><Relationship Id="rId144" Type="http://schemas.openxmlformats.org/officeDocument/2006/relationships/hyperlink" Target="https://totalcommercial.com/listings/58678?where%5Buser.id%5D=16932&amp;territory=41&amp;propertyType=all" TargetMode="External"/><Relationship Id="rId386" Type="http://schemas.openxmlformats.org/officeDocument/2006/relationships/hyperlink" Target="https://www.google.com/maps/place/1107+N+Broadway,+Baltimore,+MD+21213/@39.3033691,-76.5944776,3a,75y,50.06h,86.53t/data=!3m6!1e1!3m4!1swul3QmKHqhZgFPZhgZ4kJQ!2e0!7i13312!8i6656!4m5!3m4!1s0x89c804602d3e9a2d:0x736b6f9233ff5250!8m2!3d39.3034611!4d-76.5941646" TargetMode="External"/><Relationship Id="rId381" Type="http://schemas.openxmlformats.org/officeDocument/2006/relationships/hyperlink" Target="https://jbarrettrealty.com/listing/72180933/412-mohawk-trail-shelburne-ma-01370/" TargetMode="External"/><Relationship Id="rId380" Type="http://schemas.openxmlformats.org/officeDocument/2006/relationships/hyperlink" Target="https://www.realtor.com/realestateandhomes-detail/255-Furnace-St_Marshfield_MA_02050_M49075-43238" TargetMode="External"/><Relationship Id="rId139" Type="http://schemas.openxmlformats.org/officeDocument/2006/relationships/hyperlink" Target="https://www.clasificadosonline.com" TargetMode="External"/><Relationship Id="rId138" Type="http://schemas.openxmlformats.org/officeDocument/2006/relationships/hyperlink" Target="https://www.clasificadosonline.com/m/DetailMobile.asp?ID=4470638&amp;Sec=1" TargetMode="External"/><Relationship Id="rId137" Type="http://schemas.openxmlformats.org/officeDocument/2006/relationships/hyperlink" Target="https://www.otodom.pl/oferta/ciekawy-lokal-uzytkowy-137-m2-grodzisk-wlkp-ID44fru.html" TargetMode="External"/><Relationship Id="rId379" Type="http://schemas.openxmlformats.org/officeDocument/2006/relationships/hyperlink" Target="https://www.realtor.com/realestateandhomes-detail/4-Memorial-Dr_Leicester_MA_01524_M40393-97768" TargetMode="External"/><Relationship Id="rId132" Type="http://schemas.openxmlformats.org/officeDocument/2006/relationships/hyperlink" Target="https://www.otodom.pl/oferta/doskonala-lokalizacja-dzialka-budowlana-1159-m2-ID45Ani.html" TargetMode="External"/><Relationship Id="rId374" Type="http://schemas.openxmlformats.org/officeDocument/2006/relationships/hyperlink" Target="https://www.realliving.com/commercial-for-sale/1001-Victory-Drive-Westwego-LA-70094-207474447" TargetMode="External"/><Relationship Id="rId131" Type="http://schemas.openxmlformats.org/officeDocument/2006/relationships/hyperlink" Target="https://www.otodom.pl/oferta/lokal-149-m2-pod-dzialalnosc-uslugowa-okazja-ID3ZSra.html" TargetMode="External"/><Relationship Id="rId373" Type="http://schemas.openxmlformats.org/officeDocument/2006/relationships/hyperlink" Target="http://ldh.la.gov/index.cfm/directory/detail/6366/catid/114" TargetMode="External"/><Relationship Id="rId130" Type="http://schemas.openxmlformats.org/officeDocument/2006/relationships/hyperlink" Target="https://www.otodom.pl/oferta/centrum-szczecinka-lokal-uzytkowy-246-m2-ID43Jmq.html" TargetMode="External"/><Relationship Id="rId372" Type="http://schemas.openxmlformats.org/officeDocument/2006/relationships/hyperlink" Target="https://www.google.com/maps/place/2401+S+Service+Rd+W,+Ruston,+LA+71270/@32.5397777,-92.6683659,3a,75y,166.9h,89.42t/data=!3m6!1e1!3m4!1s_3xNAh6CK2JLodL3UHGwrQ!2e0!7i13312!8i6656!4m5!3m4!1s0x8631c5a4cd183acd:0x4b2a186c8afce2e3!8m2!3d32.5393462!4d-92.6684892" TargetMode="External"/><Relationship Id="rId371" Type="http://schemas.openxmlformats.org/officeDocument/2006/relationships/hyperlink" Target="https://www.realtor.com/realestateandhomes-detail/4251-Hwy-1146-Hwy_Rosepine_LA_71459_M76614-90079" TargetMode="External"/><Relationship Id="rId136" Type="http://schemas.openxmlformats.org/officeDocument/2006/relationships/hyperlink" Target="https://www.otodom.pl/oferta/dom-rozna-dzialalnosc-540-m2-gniezno-ID44J6I.html" TargetMode="External"/><Relationship Id="rId378" Type="http://schemas.openxmlformats.org/officeDocument/2006/relationships/hyperlink" Target="https://www.realtor.com/realestateandhomes-detail/Harwich_MA_02645_M47709-29134" TargetMode="External"/><Relationship Id="rId135" Type="http://schemas.openxmlformats.org/officeDocument/2006/relationships/hyperlink" Target="https://www.otodom.pl/oferta/szukasz-ciszy-i-spokoju-tutaj-je-znajdziesz-ID471sr.html" TargetMode="External"/><Relationship Id="rId377" Type="http://schemas.openxmlformats.org/officeDocument/2006/relationships/hyperlink" Target="https://www.realtytrac.com/property/ma/greenfield/01301/805-bernardston-rd/189224281/" TargetMode="External"/><Relationship Id="rId134" Type="http://schemas.openxmlformats.org/officeDocument/2006/relationships/hyperlink" Target="https://www.otodom.pl/oferta/doskonala-dzialka-wszystkie-media-1954-m2-ID475JK.html" TargetMode="External"/><Relationship Id="rId376" Type="http://schemas.openxmlformats.org/officeDocument/2006/relationships/hyperlink" Target="https://www.richhaen.com/real-estate/136-saint-botolph-st-boston-ma-02115/71130636/692468" TargetMode="External"/><Relationship Id="rId133" Type="http://schemas.openxmlformats.org/officeDocument/2006/relationships/hyperlink" Target="https://www.otodom.pl/oferta/rezerwacja-szukasz-mieszkania-zobacz-oferte-33-m-ID45c3v.html" TargetMode="External"/><Relationship Id="rId375" Type="http://schemas.openxmlformats.org/officeDocument/2006/relationships/hyperlink" Target="https://www.redfin.com/MA/Billerica/310-River-St-01821/home/167088284" TargetMode="External"/><Relationship Id="rId172" Type="http://schemas.openxmlformats.org/officeDocument/2006/relationships/hyperlink" Target="https://www.google.com/maps/place/156+woodburn+road,+carrickfergus+Carrickfergus/@54.7319601,-5.8494076,3a,75y,208.17h,90t/data=!3m4!1e1!3m2!1sRMSmwb0fzpT0PypKeWndvA!2e0!4m2!3m1!1s0x4861a1629b7d1bd3:0x3f946b6a8ee6861d?sa=X&amp;ved=2ahUKEwj8kIXCj9zoAhVQRhUIHQOCC0YQxB0wAHoECAsQAg" TargetMode="External"/><Relationship Id="rId171" Type="http://schemas.openxmlformats.org/officeDocument/2006/relationships/hyperlink" Target="https://www.rightmove.co.uk/commercial-property-for-sale/property-90393209.html" TargetMode="External"/><Relationship Id="rId170" Type="http://schemas.openxmlformats.org/officeDocument/2006/relationships/hyperlink" Target="https://www.acorngroup.co.uk/commercial/property-sales/leisure-institution-for-sale-in-kingdom-hall-cedar-terrace-road-sevenoaks-kent/42830" TargetMode="External"/><Relationship Id="rId165" Type="http://schemas.openxmlformats.org/officeDocument/2006/relationships/hyperlink" Target="https://ibsaproperty.com/houses/bakers-lane/" TargetMode="External"/><Relationship Id="rId164" Type="http://schemas.openxmlformats.org/officeDocument/2006/relationships/hyperlink" Target="https://www.onthemarket.com/details/4656073/" TargetMode="External"/><Relationship Id="rId163" Type="http://schemas.openxmlformats.org/officeDocument/2006/relationships/hyperlink" Target="https://nethouseprices.com/house-prices/street-details-sale/80e1aa98f5227bf8e0536c04a8c00bf2/kingdom%20hall%20of%20jehovahs%20witnesses%20grove%20road,%20windsor,%20sl4%201jq/2019" TargetMode="External"/><Relationship Id="rId162" Type="http://schemas.openxmlformats.org/officeDocument/2006/relationships/hyperlink" Target="https://www.philiptweedie.com/property-detail/" TargetMode="External"/><Relationship Id="rId169" Type="http://schemas.openxmlformats.org/officeDocument/2006/relationships/hyperlink" Target="http://po33-1qg.postcodeuk.online/11636095/brading-road-kingdom-hall/" TargetMode="External"/><Relationship Id="rId168" Type="http://schemas.openxmlformats.org/officeDocument/2006/relationships/hyperlink" Target="https://www.zoopla.co.uk/property/51-paddington-road/portsmouth/po2-0du/18637160" TargetMode="External"/><Relationship Id="rId167" Type="http://schemas.openxmlformats.org/officeDocument/2006/relationships/hyperlink" Target="https://www.onthemarket.com/details/5535442/" TargetMode="External"/><Relationship Id="rId166" Type="http://schemas.openxmlformats.org/officeDocument/2006/relationships/hyperlink" Target="https://www.acorngroup.co.uk/commercial/property-sales/leisure-institution-corporate-asset-services-for-sale-in-pioneer-place-featherbed-lane-croydon/42866" TargetMode="External"/><Relationship Id="rId161" Type="http://schemas.openxmlformats.org/officeDocument/2006/relationships/hyperlink" Target="https://www.bering.ch/referenzen/wohnen/wohnuberbauung-ulmenweg-45-thun" TargetMode="External"/><Relationship Id="rId160" Type="http://schemas.openxmlformats.org/officeDocument/2006/relationships/hyperlink" Target="http://www.lindalen.nu/uncategorized/tybo-koper-rikets-sal/?fbclid=IwAR0xiDvTVQiR3W6AZI-XUJVSXeCOvPxOTKBt4sifPnvTDMv1EpErIEKO7Mo" TargetMode="External"/><Relationship Id="rId159" Type="http://schemas.openxmlformats.org/officeDocument/2006/relationships/hyperlink" Target="https://www.svt.se/nyheter/lokalt/vasterbotten/jehovas-vittnen-vill-salja-hus-till-kommunen" TargetMode="External"/><Relationship Id="rId154" Type="http://schemas.openxmlformats.org/officeDocument/2006/relationships/hyperlink" Target="https://totalcommercial.com/listings/57928?where%5Buser.id%5D=16932&amp;territory=41&amp;propertyType=all" TargetMode="External"/><Relationship Id="rId396" Type="http://schemas.openxmlformats.org/officeDocument/2006/relationships/hyperlink" Target="https://www.redfin.com/ME/Sanford/21-Malcolm-Ave-04073/home/148419172" TargetMode="External"/><Relationship Id="rId153" Type="http://schemas.openxmlformats.org/officeDocument/2006/relationships/hyperlink" Target="https://totalcommercial.com/listings/56470?where%5Buser.id%5D=16932&amp;territory=41&amp;propertyType=all" TargetMode="External"/><Relationship Id="rId395" Type="http://schemas.openxmlformats.org/officeDocument/2006/relationships/hyperlink" Target="https://www.rizzomattson.com/listing/1343882/157-ossipee-trail-limington-me-04049/" TargetMode="External"/><Relationship Id="rId152" Type="http://schemas.openxmlformats.org/officeDocument/2006/relationships/hyperlink" Target="https://www.clasificadosonline.com/m/PartnerListingM.asp?ID=32172&amp;CID=1&amp;fbclid=IwAR27qNW_vh-raLkl4kKFNNlwJ6a_fjncdD1fg0--C0b00vVWe_RQ_kM-SPM" TargetMode="External"/><Relationship Id="rId394" Type="http://schemas.openxmlformats.org/officeDocument/2006/relationships/hyperlink" Target="https://www.google.com/maps/place/36+Eastern+Ave,+Augusta,+ME+04330/@44.3102263,-69.7679309,3a,75y,182.74h,89.44t/data=!3m6!1e1!3m4!1seSxPaREIcupmlD6OOwmNiA!2e0!7i16384!8i8192!4m5!3m4!1s0x4cb20132e62b3ef1:0xdb20a0bf786b7229!8m2!3d44.309959!4d-69.7679645" TargetMode="External"/><Relationship Id="rId151" Type="http://schemas.openxmlformats.org/officeDocument/2006/relationships/hyperlink" Target="https://www.clasificadosonline.com/m/DetailMobile.asp?ID=4355449&amp;Sec=1" TargetMode="External"/><Relationship Id="rId393" Type="http://schemas.openxmlformats.org/officeDocument/2006/relationships/hyperlink" Target="https://www.enrichedrealestate.com/7843-JERSEY-RD-SALISBURY-MD-21801/InstitutionalSpecialPurposeBuildings/Religious/Id=188968512&amp;searchId=8368b33e-1f98-4fda-bfa0-ddd3bb4d20d9" TargetMode="External"/><Relationship Id="rId158" Type="http://schemas.openxmlformats.org/officeDocument/2006/relationships/hyperlink" Target="https://www.todocoleccion.net/postales-cataluna/barcelona-salon-reino-testigos-jehova-sin-circular~x61024339" TargetMode="External"/><Relationship Id="rId157" Type="http://schemas.openxmlformats.org/officeDocument/2006/relationships/hyperlink" Target="https://g.co/kgs/NsPRhw" TargetMode="External"/><Relationship Id="rId399" Type="http://schemas.openxmlformats.org/officeDocument/2006/relationships/hyperlink" Target="https://www.realtytrac.com/property/mi/battle-creek/49014/7085-e-dr-n/218949137/" TargetMode="External"/><Relationship Id="rId156" Type="http://schemas.openxmlformats.org/officeDocument/2006/relationships/hyperlink" Target="https://www.property24.com/property-values/634-lansdowne-road/buckingham/cape-town/western-cape/qr7hi3foiexynjvkzoys6d247mitf5dxa7wl6552ulmksd655zebo6xvnm3xdluecmkjlywvr5djo" TargetMode="External"/><Relationship Id="rId398" Type="http://schemas.openxmlformats.org/officeDocument/2006/relationships/hyperlink" Target="https://www.coldwellbankerhomes.com/chicago-milwaukee/107-linwood-avenue/pid_24854431/" TargetMode="External"/><Relationship Id="rId155" Type="http://schemas.openxmlformats.org/officeDocument/2006/relationships/hyperlink" Target="https://www.youtube.com/channel/UCsqw_nSeqpRESZOLEbvt2zw/videos" TargetMode="External"/><Relationship Id="rId397" Type="http://schemas.openxmlformats.org/officeDocument/2006/relationships/hyperlink" Target="https://www.loopnet.com/Listing/329-E-Main-St-Addison-MI/15916233/" TargetMode="External"/><Relationship Id="rId808" Type="http://schemas.openxmlformats.org/officeDocument/2006/relationships/hyperlink" Target="https://www.beenverified.com/property/wy/powell/road-8-residences/" TargetMode="External"/><Relationship Id="rId807" Type="http://schemas.openxmlformats.org/officeDocument/2006/relationships/hyperlink" Target="https://www.realtor.com/realestateandhomes-detail/576-N-Ingalls-St_Powell_WY_82435_M84571-40848" TargetMode="External"/><Relationship Id="rId806" Type="http://schemas.openxmlformats.org/officeDocument/2006/relationships/hyperlink" Target="https://www.xome.com/realestate/507-e-clark-st-laramie-wy-82072-119228580" TargetMode="External"/><Relationship Id="rId805" Type="http://schemas.openxmlformats.org/officeDocument/2006/relationships/hyperlink" Target="https://www.realliving.com/commercial-for-sale/2180-W-Teton-Blvd-Green-River-WY-82935-292496140" TargetMode="External"/><Relationship Id="rId809" Type="http://schemas.openxmlformats.org/officeDocument/2006/relationships/drawing" Target="../drawings/drawing1.xml"/><Relationship Id="rId800" Type="http://schemas.openxmlformats.org/officeDocument/2006/relationships/hyperlink" Target="https://reviews.birdeye.com/uti-united-states-inc-721608000" TargetMode="External"/><Relationship Id="rId804" Type="http://schemas.openxmlformats.org/officeDocument/2006/relationships/hyperlink" Target="https://www.google.com/maps/place/2200+Greenway+Dr,+Gillette,+WY+82716/@44.3045515,-105.5316117,3a,75y,0.77h,90t/data=!3m7!1e1!3m5!1sDu2XvMcAOmsubDVOJIBFSg!2e0!6s%2F%2Fgeo0.ggpht.com%2Fcbk%3Fpanoid%3DDu2XvMcAOmsubDVOJIBFSg%26output%3Dthumbnail%26cb_client%3Dsearch.gws-prod%2Flocal-details-getcard.gps%26thumb%3D2%26w%3D360%26h%3D120%26yaw%3D0.7733341%26pitch%3D0%26thumbfov%3D100!7i16384!8i8192!4m5!3m4!1s0x5334947411a60937:0x613826dd51f0ea59!8m2!3d44.3048998!4d-105.5315675?hl=en-US" TargetMode="External"/><Relationship Id="rId803" Type="http://schemas.openxmlformats.org/officeDocument/2006/relationships/hyperlink" Target="https://www.google.com/maps/@42.7446028,-105.377871,3a,75y,194.39h,85.64t/data=!3m8!1e1!3m6!1sP5aT52bCg6W5A0NZhOQ4Jw!2e0!5s20110901T000000!6s%2F%2Fgeo3.ggpht.com%2Fcbk%3Fpanoid%3DP5aT52bCg6W5A0NZhOQ4Jw%26output%3Dthumbnail%26cb_client%3Dmaps_sv.tactile.gps%26thumb%3D2%26w%3D203%26h%3D100%26yaw%3D100.27502%26pitch%3D0%26thumbfov%3D100!7i13312!8i6656" TargetMode="External"/><Relationship Id="rId802" Type="http://schemas.openxmlformats.org/officeDocument/2006/relationships/hyperlink" Target="https://www.google.com/maps/place/808+North+St,+Cody,+WY+82414/@44.5296595,-109.0411241,3a,37.5y,12.22h,87.77t/data=!3m6!1e1!3m4!1s2_bOhDQz39tS0tMfk1V_rg!2e0!7i3328!8i1664!4m5!3m4!1s0x534c1eb087ecfe53:0x4b796271e97099ba!8m2!3d44.5300538!4d-109.0409282" TargetMode="External"/><Relationship Id="rId801" Type="http://schemas.openxmlformats.org/officeDocument/2006/relationships/hyperlink" Target="https://www.realtor.com/realestateandhomes-detail/1202-29th-St_Cody_WY_82414_M88426-78669" TargetMode="External"/><Relationship Id="rId40" Type="http://schemas.openxmlformats.org/officeDocument/2006/relationships/hyperlink" Target="https://www.redfin.ca/bc/osoyoos/6221-97th-St-V0H-1V5/home/170017601" TargetMode="External"/><Relationship Id="rId42" Type="http://schemas.openxmlformats.org/officeDocument/2006/relationships/hyperlink" Target="https://www.realtor.ca/real-estate/21641053/184-woodstock-road-fredericton" TargetMode="External"/><Relationship Id="rId41" Type="http://schemas.openxmlformats.org/officeDocument/2006/relationships/hyperlink" Target="https://www.zolo.ca/sicamous-real-estate/502-cedar-street" TargetMode="External"/><Relationship Id="rId44" Type="http://schemas.openxmlformats.org/officeDocument/2006/relationships/hyperlink" Target="https://www.gallorealestateltd.com/ON/niagara-space-falls/l2g5a6/3809603-MLS-30562477-na-6735-Caledonia-Street" TargetMode="External"/><Relationship Id="rId43" Type="http://schemas.openxmlformats.org/officeDocument/2006/relationships/hyperlink" Target="https://www.redfin.ca/on/clarington/1518-Nash-Rd-L1E-2K8/home/169991228" TargetMode="External"/><Relationship Id="rId46" Type="http://schemas.openxmlformats.org/officeDocument/2006/relationships/hyperlink" Target="https://local.mercadolibre.cl/MLC-521040274-tagua-tagua-8235-_JM" TargetMode="External"/><Relationship Id="rId45" Type="http://schemas.openxmlformats.org/officeDocument/2006/relationships/hyperlink" Target="https://www.remax.ca/commercial/sk/kindersley-real-estate/300-1-ave-w-off_id514709635f794a4eeac71099d182ff6a-prty" TargetMode="External"/><Relationship Id="rId509" Type="http://schemas.openxmlformats.org/officeDocument/2006/relationships/hyperlink" Target="https://jwleaks.files.wordpress.com/2019/01/watchtower-brooklyn-real-estate-transfers-2004-2018.pdf" TargetMode="External"/><Relationship Id="rId508" Type="http://schemas.openxmlformats.org/officeDocument/2006/relationships/hyperlink" Target="https://www.realtytrac.com/property/ny/brooklyn/11213/1666-bergen-st/168059084/" TargetMode="External"/><Relationship Id="rId503" Type="http://schemas.openxmlformats.org/officeDocument/2006/relationships/hyperlink" Target="https://www.propertyshark.com/mason/Property/67379/625-Leland-Ave-Bronx-NY-10473/" TargetMode="External"/><Relationship Id="rId745" Type="http://schemas.openxmlformats.org/officeDocument/2006/relationships/hyperlink" Target="https://www.realtytrac.com/property/wa/seattle/98116/4409-sw-college-st/186024599/" TargetMode="External"/><Relationship Id="rId502" Type="http://schemas.openxmlformats.org/officeDocument/2006/relationships/hyperlink" Target="https://www.realtytrac.com/property/ny/amityville/11701/450-bayview-ave/170767165/" TargetMode="External"/><Relationship Id="rId744" Type="http://schemas.openxmlformats.org/officeDocument/2006/relationships/hyperlink" Target="https://www.realtytrac.com/property/wa/seattle/98168/228-s-128th-st/33799512/" TargetMode="External"/><Relationship Id="rId501" Type="http://schemas.openxmlformats.org/officeDocument/2006/relationships/hyperlink" Target="https://www.washoecounty.us/assessor/cama/?parid=008-193-10&amp;Card=1" TargetMode="External"/><Relationship Id="rId743" Type="http://schemas.openxmlformats.org/officeDocument/2006/relationships/hyperlink" Target="https://www.coldwellbankerbain.com/p/2214-N-56th-St-Seattle-WA-98103/dmgid_136615135" TargetMode="External"/><Relationship Id="rId500" Type="http://schemas.openxmlformats.org/officeDocument/2006/relationships/hyperlink" Target="https://www.realtytrac.com/property/nv/fallon/89406/2705-schurz-hwy/34800119/" TargetMode="External"/><Relationship Id="rId742" Type="http://schemas.openxmlformats.org/officeDocument/2006/relationships/hyperlink" Target="https://www.xome.com/realestate/1339-s-clark-ave-republic-wa-99166-110882941" TargetMode="External"/><Relationship Id="rId507" Type="http://schemas.openxmlformats.org/officeDocument/2006/relationships/hyperlink" Target="https://jwleaks.files.wordpress.com/2019/01/watchtower-brooklyn-real-estate-transfers-2004-2018.pdf" TargetMode="External"/><Relationship Id="rId749" Type="http://schemas.openxmlformats.org/officeDocument/2006/relationships/hyperlink" Target="https://www.realliving.com/homes-for-sale/9622-N-Stevens-St-Spokane-WA-99218-287732127" TargetMode="External"/><Relationship Id="rId506" Type="http://schemas.openxmlformats.org/officeDocument/2006/relationships/hyperlink" Target="https://jwleaks.files.wordpress.com/2019/01/watchtower-brooklyn-real-estate-transfers-2004-2018.pdf" TargetMode="External"/><Relationship Id="rId748" Type="http://schemas.openxmlformats.org/officeDocument/2006/relationships/hyperlink" Target="https://www.google.com/maps/place/4249+E+Pratt+Ave,+Spokane,+WA+99202/@47.6466455,-117.347563,3a,75y,26.91h,90t/data=!3m6!1e1!3m4!1syK9EP8PxT6p6FPPlytOf3A!2e0!7i13312!8i6656!4m5!3m4!1s0x549e221b31a36de1:0x1ce39d4e048367c8!8m2!3d47.646899!4d-117.347337" TargetMode="External"/><Relationship Id="rId505" Type="http://schemas.openxmlformats.org/officeDocument/2006/relationships/hyperlink" Target="https://jwleaks.files.wordpress.com/2019/01/watchtower-brooklyn-real-estate-transfers-2004-2018.pdf" TargetMode="External"/><Relationship Id="rId747" Type="http://schemas.openxmlformats.org/officeDocument/2006/relationships/hyperlink" Target="https://www.google.com/maps/place/11912+E+Empire+Ave,+Spokane+Valley,+WA+99206/@47.6906703,-117.2452982,3a,75y,166.2h,90t/data=!3m6!1e1!3m4!1s__JIfVOan6Ox7NU5VskMwA!2e0!7i16384!8i8192!4m5!3m4!1s0x549e1ffdc4058d77:0xb4f577c2e4f1e80d!8m2!3d47.6904344!4d-117.2452087" TargetMode="External"/><Relationship Id="rId504" Type="http://schemas.openxmlformats.org/officeDocument/2006/relationships/hyperlink" Target="https://www.realtytrac.com/property/ny/bronx/10457/1820-monroe-ave/168601812/" TargetMode="External"/><Relationship Id="rId746" Type="http://schemas.openxmlformats.org/officeDocument/2006/relationships/hyperlink" Target="https://www.xome.com/realestate/21-quail-meadow-ln-selah-wa-98942-112365068" TargetMode="External"/><Relationship Id="rId48" Type="http://schemas.openxmlformats.org/officeDocument/2006/relationships/hyperlink" Target="https://www.propertysale.dk/sale/Europe-EU/Denmark/Sj%C3%A6lland/nyg%C3%A5rdevej-2_EN.php?fc=0" TargetMode="External"/><Relationship Id="rId47" Type="http://schemas.openxmlformats.org/officeDocument/2006/relationships/hyperlink" Target="https://www.point2homes.com/CR/Commercial-For-Sale/Heredia/Belen/La-Asuncion-De-Belen/La-Asuncion-de-Belen/88789825.html" TargetMode="External"/><Relationship Id="rId49" Type="http://schemas.openxmlformats.org/officeDocument/2006/relationships/hyperlink" Target="https://panoraama.com/jt/ksali_ou/Konventtisaliesite_engl.pdf" TargetMode="External"/><Relationship Id="rId741" Type="http://schemas.openxmlformats.org/officeDocument/2006/relationships/hyperlink" Target="https://www.xome.com/realestate/1112-s-jacob-miller-rd-port-townsend-wa-98368-122226408" TargetMode="External"/><Relationship Id="rId740" Type="http://schemas.openxmlformats.org/officeDocument/2006/relationships/hyperlink" Target="https://www.realtor.com/realestateandhomes-detail/821-Coal-Creek-Rd_Longview_WA_98632_M13236-60645" TargetMode="External"/><Relationship Id="rId31" Type="http://schemas.openxmlformats.org/officeDocument/2006/relationships/hyperlink" Target="https://www.realestate.com.au/property/69-71-athol-rd-springvale-south-vic-3172" TargetMode="External"/><Relationship Id="rId30" Type="http://schemas.openxmlformats.org/officeDocument/2006/relationships/hyperlink" Target="https://www.realestate.com.au/property/72-luckie-st-nunawading-vic-3131?fbclid=IwAR2vFfulH5QgAS12hykWlBjsvaKG6wf_YXzh2PEXwB_D8uehfmVub95W6EI" TargetMode="External"/><Relationship Id="rId33" Type="http://schemas.openxmlformats.org/officeDocument/2006/relationships/hyperlink" Target="https://www.domain.com.au/property-profile/13-millard-street-derby-wa-6728?fbclid=IwAR2HT8kGKDGU93RkxcO8qMrUwvnJ7VoU2qzQAct6yzZB1Pk5-EasJV2ZiMo" TargetMode="External"/><Relationship Id="rId32" Type="http://schemas.openxmlformats.org/officeDocument/2006/relationships/hyperlink" Target="https://www.realestate.com.au/property/13-wallington-rd-balga-wa-6061" TargetMode="External"/><Relationship Id="rId35" Type="http://schemas.openxmlformats.org/officeDocument/2006/relationships/hyperlink" Target="https://www.ljhcommercial.com.au/blog/media-centre/march-2018/developers-bow-out-as-church-site-changes-faiths" TargetMode="External"/><Relationship Id="rId34" Type="http://schemas.openxmlformats.org/officeDocument/2006/relationships/hyperlink" Target="https://perth.ljhcommercial.com.au/other-in-dianella-wa-6059-au-13ghga?search=%2fsearch%2fcommercial-property-for-sale%2fpage-2%3f" TargetMode="External"/><Relationship Id="rId739" Type="http://schemas.openxmlformats.org/officeDocument/2006/relationships/hyperlink" Target="https://www.realliving.com/commercial-for-sale/7053-N-Enterprise-Rd-Ferndale-WA-98248-289642602" TargetMode="External"/><Relationship Id="rId734" Type="http://schemas.openxmlformats.org/officeDocument/2006/relationships/hyperlink" Target="https://www.roanoke.com/business/real-estate-transfers-for-july/article_0950dab1-e023-5eca-8437-f379ccc5dfa3.html" TargetMode="External"/><Relationship Id="rId733" Type="http://schemas.openxmlformats.org/officeDocument/2006/relationships/hyperlink" Target="https://www.loopnet.com/Listing/4305-8th-St-Richmond-VA/19341151/" TargetMode="External"/><Relationship Id="rId732" Type="http://schemas.openxmlformats.org/officeDocument/2006/relationships/hyperlink" Target="https://www.loopnet.com/Listing/131-Walton-Park-Ln-Midlothian-VA/19294114/" TargetMode="External"/><Relationship Id="rId731" Type="http://schemas.openxmlformats.org/officeDocument/2006/relationships/hyperlink" Target="https://www.howardhanna.com/Property/Detail/7840-John-Clayton-Memorial-HWY-Gloucester-VA-23061/REIN/10313115" TargetMode="External"/><Relationship Id="rId738" Type="http://schemas.openxmlformats.org/officeDocument/2006/relationships/hyperlink" Target="https://www.zillow.com/homedetails/331-W-Morris-Rd-Coupeville-WA-98239/2079642623_zpid/?" TargetMode="External"/><Relationship Id="rId737" Type="http://schemas.openxmlformats.org/officeDocument/2006/relationships/hyperlink" Target="https://www.realtytrac.com/property/wa/chehalis/98532/144-kennicott-rd/34149525/" TargetMode="External"/><Relationship Id="rId736" Type="http://schemas.openxmlformats.org/officeDocument/2006/relationships/hyperlink" Target="https://www.xome.com/realestate/5862-sunburst-ln-cashmere-wa-98815-15251839" TargetMode="External"/><Relationship Id="rId735" Type="http://schemas.openxmlformats.org/officeDocument/2006/relationships/hyperlink" Target="https://www.redfin.com/WA/Arlington/44211-State-Rte-530-NE-98223/home/40429374" TargetMode="External"/><Relationship Id="rId37" Type="http://schemas.openxmlformats.org/officeDocument/2006/relationships/hyperlink" Target="https://www.remax.ca/bc/kamloops-real-estate/779-franklin-road-wp_id256670650-lst" TargetMode="External"/><Relationship Id="rId36" Type="http://schemas.openxmlformats.org/officeDocument/2006/relationships/hyperlink" Target="http://www.coldwellbankerbahamas.com/listing-sold-24-quakoo-street-16426.html" TargetMode="External"/><Relationship Id="rId39" Type="http://schemas.openxmlformats.org/officeDocument/2006/relationships/hyperlink" Target="https://listings.soreb.org/listing/dp1p" TargetMode="External"/><Relationship Id="rId38" Type="http://schemas.openxmlformats.org/officeDocument/2006/relationships/hyperlink" Target="https://www.royallepage.ca/en/property/british-columbia/kelowna/1880-dallas-road/11225984/mls10200356/" TargetMode="External"/><Relationship Id="rId730" Type="http://schemas.openxmlformats.org/officeDocument/2006/relationships/hyperlink" Target="https://www.realtytrac.com/property/va/danville/24540/300-terry-ave/214784472/" TargetMode="External"/><Relationship Id="rId20" Type="http://schemas.openxmlformats.org/officeDocument/2006/relationships/hyperlink" Target="https://www.realestate.com.au/sold/property-house-qld-mount+julian-127916114" TargetMode="External"/><Relationship Id="rId22" Type="http://schemas.openxmlformats.org/officeDocument/2006/relationships/hyperlink" Target="https://www.realestate.com.au/property/211-yorktown-rd-craigmore-sa-5114" TargetMode="External"/><Relationship Id="rId21" Type="http://schemas.openxmlformats.org/officeDocument/2006/relationships/hyperlink" Target="https://www.onthehouse.com.au/property/sa/crafers-5152/8-james-st-crafers-sa-5152-17430674" TargetMode="External"/><Relationship Id="rId24" Type="http://schemas.openxmlformats.org/officeDocument/2006/relationships/hyperlink" Target="https://www.onthehouse.com.au/property/sa/lobethal-5241/53-woodside-rd-lobethal-sa-5241-10619087" TargetMode="External"/><Relationship Id="rId23" Type="http://schemas.openxmlformats.org/officeDocument/2006/relationships/hyperlink" Target="https://www.commercialrealestate.com.au/property/corner-of-botany-drive-the-golden-way-golden-grove-sa-5125-2014848285" TargetMode="External"/><Relationship Id="rId525" Type="http://schemas.openxmlformats.org/officeDocument/2006/relationships/hyperlink" Target="https://jwleaks.files.wordpress.com/2019/01/watchtower-brooklyn-real-estate-transfers-2004-2018.pdf" TargetMode="External"/><Relationship Id="rId767" Type="http://schemas.openxmlformats.org/officeDocument/2006/relationships/hyperlink" Target="https://www.crexi.com/properties/254103/wisconsin-6767-hwy-38" TargetMode="External"/><Relationship Id="rId524" Type="http://schemas.openxmlformats.org/officeDocument/2006/relationships/hyperlink" Target="https://jwleaks.files.wordpress.com/2019/01/watchtower-brooklyn-real-estate-transfers-2004-2018.pdf" TargetMode="External"/><Relationship Id="rId766" Type="http://schemas.openxmlformats.org/officeDocument/2006/relationships/hyperlink" Target="https://www.xome.com/commercial-for-sale/W5696-Schmidt-Rd-Elkhorn-WI-53121-314864488" TargetMode="External"/><Relationship Id="rId523" Type="http://schemas.openxmlformats.org/officeDocument/2006/relationships/hyperlink" Target="https://jwleaks.files.wordpress.com/2019/01/watchtower-brooklyn-real-estate-transfers-2004-2018.pdf" TargetMode="External"/><Relationship Id="rId765" Type="http://schemas.openxmlformats.org/officeDocument/2006/relationships/hyperlink" Target="https://www.movoto.com/eland-wi/1086-state-highway-49-eland-wi-54427/pid_k28z0nmhqh/" TargetMode="External"/><Relationship Id="rId522" Type="http://schemas.openxmlformats.org/officeDocument/2006/relationships/hyperlink" Target="https://www.realtyhop.com/building/9024-ditmas-avenue-brooklyn-ny-11236" TargetMode="External"/><Relationship Id="rId764" Type="http://schemas.openxmlformats.org/officeDocument/2006/relationships/hyperlink" Target="https://www.mapquest.com/us/wisconsin/kingdom-hall-of-jehovahs-witnesses-354764143" TargetMode="External"/><Relationship Id="rId529" Type="http://schemas.openxmlformats.org/officeDocument/2006/relationships/hyperlink" Target="https://jwleaks.files.wordpress.com/2019/01/watchtower-brooklyn-real-estate-transfers-2004-2018.pdf" TargetMode="External"/><Relationship Id="rId528" Type="http://schemas.openxmlformats.org/officeDocument/2006/relationships/hyperlink" Target="https://jwleaks.files.wordpress.com/2019/01/watchtower-brooklyn-real-estate-transfers-2004-2018.pdf" TargetMode="External"/><Relationship Id="rId527" Type="http://schemas.openxmlformats.org/officeDocument/2006/relationships/hyperlink" Target="https://jwleaks.files.wordpress.com/2019/01/watchtower-brooklyn-real-estate-transfers-2004-2018.pdf" TargetMode="External"/><Relationship Id="rId769" Type="http://schemas.openxmlformats.org/officeDocument/2006/relationships/hyperlink" Target="https://www.zillow.com/homedetails/N120w21580-Freistadt-Germantown-WI-53022/2081540047_zpid/" TargetMode="External"/><Relationship Id="rId526" Type="http://schemas.openxmlformats.org/officeDocument/2006/relationships/hyperlink" Target="https://jwleaks.files.wordpress.com/2019/01/watchtower-brooklyn-real-estate-transfers-2004-2018.pdf" TargetMode="External"/><Relationship Id="rId768" Type="http://schemas.openxmlformats.org/officeDocument/2006/relationships/hyperlink" Target="https://www.coldwellbankerhomes.com/chicago-milwaukee/w20598-mckeeth-dr/pid_27942110/" TargetMode="External"/><Relationship Id="rId26" Type="http://schemas.openxmlformats.org/officeDocument/2006/relationships/hyperlink" Target="https://www.domain.com.au/property-profile/10-bowden-drive-bridgewater-tas-7030" TargetMode="External"/><Relationship Id="rId25" Type="http://schemas.openxmlformats.org/officeDocument/2006/relationships/hyperlink" Target="https://www.domain.com.au/62-geddes-road-port-pirie-sa-5540-2014408303" TargetMode="External"/><Relationship Id="rId28" Type="http://schemas.openxmlformats.org/officeDocument/2006/relationships/hyperlink" Target="https://www.realestate.com.au/property/22-allambie-cres-ulverstone-tas-7315" TargetMode="External"/><Relationship Id="rId27" Type="http://schemas.openxmlformats.org/officeDocument/2006/relationships/hyperlink" Target="https://www.realestate.com.au/property/64-charles-st-triabunna-tas-7190" TargetMode="External"/><Relationship Id="rId521" Type="http://schemas.openxmlformats.org/officeDocument/2006/relationships/hyperlink" Target="https://jwleaks.files.wordpress.com/2019/01/watchtower-brooklyn-real-estate-transfers-2004-2018.pdf" TargetMode="External"/><Relationship Id="rId763" Type="http://schemas.openxmlformats.org/officeDocument/2006/relationships/hyperlink" Target="https://www.google.com/maps/@44.4182466,-88.0772172,3a,75y,117.47h,87.1t/data=!3m7!1e1!3m5!1s29w8Av1T6yGx_P7NJG_Irg!2e0!5s20090901T000000!7i13312!8i6656" TargetMode="External"/><Relationship Id="rId29" Type="http://schemas.openxmlformats.org/officeDocument/2006/relationships/hyperlink" Target="https://www.domain.com.au/property-profile/192-marine-parade-hastings-vic-3915" TargetMode="External"/><Relationship Id="rId520" Type="http://schemas.openxmlformats.org/officeDocument/2006/relationships/hyperlink" Target="https://jwleaks.files.wordpress.com/2019/01/watchtower-brooklyn-real-estate-transfers-2004-2018.pdf" TargetMode="External"/><Relationship Id="rId762" Type="http://schemas.openxmlformats.org/officeDocument/2006/relationships/hyperlink" Target="https://www.trulia.com/p/wi/cornell/1416-bridge-st-cornell-wi-54732--2055005712" TargetMode="External"/><Relationship Id="rId761" Type="http://schemas.openxmlformats.org/officeDocument/2006/relationships/hyperlink" Target="https://www.coldwellbankerhomes.com/wi/hallie/4668-133rd-st/pid_29499124/" TargetMode="External"/><Relationship Id="rId760" Type="http://schemas.openxmlformats.org/officeDocument/2006/relationships/hyperlink" Target="https://www.realtor.com/realestateandhomes-detail/710-Center-St_Antigo_WI_54409_M78960-05237" TargetMode="External"/><Relationship Id="rId11" Type="http://schemas.openxmlformats.org/officeDocument/2006/relationships/hyperlink" Target="https://www.realestate.com.au/sold/property-house-nsw-warners+bay-130610162" TargetMode="External"/><Relationship Id="rId10" Type="http://schemas.openxmlformats.org/officeDocument/2006/relationships/hyperlink" Target="https://www.allhomes.com.au/sale/103-richardson-road-raymond-terrace-hunter-176712890" TargetMode="External"/><Relationship Id="rId13" Type="http://schemas.openxmlformats.org/officeDocument/2006/relationships/hyperlink" Target="https://www.onthehouse.com.au/property/qld/blackwater-4717/33-acacia-st-blackwater-qld-4717-5204890" TargetMode="External"/><Relationship Id="rId12" Type="http://schemas.openxmlformats.org/officeDocument/2006/relationships/hyperlink" Target="https://www.realestate.com.au/sold/property-other-nsw-woy+woy-108177176" TargetMode="External"/><Relationship Id="rId519" Type="http://schemas.openxmlformats.org/officeDocument/2006/relationships/hyperlink" Target="https://jwleaks.files.wordpress.com/2019/01/watchtower-brooklyn-real-estate-transfers-2004-2018.pdf" TargetMode="External"/><Relationship Id="rId514" Type="http://schemas.openxmlformats.org/officeDocument/2006/relationships/hyperlink" Target="https://jwleaks.files.wordpress.com/2019/01/watchtower-brooklyn-real-estate-transfers-2004-2018.pdf" TargetMode="External"/><Relationship Id="rId756" Type="http://schemas.openxmlformats.org/officeDocument/2006/relationships/hyperlink" Target="https://www.loopnet.com/Listing/17201537/2521-Mapleway-Rd-Yakima-WA/" TargetMode="External"/><Relationship Id="rId513" Type="http://schemas.openxmlformats.org/officeDocument/2006/relationships/hyperlink" Target="https://jwleaks.files.wordpress.com/2019/01/watchtower-brooklyn-real-estate-transfers-2004-2018.pdf" TargetMode="External"/><Relationship Id="rId755" Type="http://schemas.openxmlformats.org/officeDocument/2006/relationships/hyperlink" Target="https://www.realtor.com/realestateandhomes-detail/1321-Methow-St_Wenatchee_WA_98801_M21295-85779" TargetMode="External"/><Relationship Id="rId512" Type="http://schemas.openxmlformats.org/officeDocument/2006/relationships/hyperlink" Target="https://jwleaks.files.wordpress.com/2019/01/watchtower-brooklyn-real-estate-transfers-2004-2018.pdf" TargetMode="External"/><Relationship Id="rId754" Type="http://schemas.openxmlformats.org/officeDocument/2006/relationships/hyperlink" Target="https://www.xome.com/commercial-for-sale/280-NW-Manor-Rd-Wapato-WA-98951-262261380" TargetMode="External"/><Relationship Id="rId511" Type="http://schemas.openxmlformats.org/officeDocument/2006/relationships/hyperlink" Target="https://jwleaks.files.wordpress.com/2019/01/watchtower-brooklyn-real-estate-transfers-2004-2018.pdf" TargetMode="External"/><Relationship Id="rId753" Type="http://schemas.openxmlformats.org/officeDocument/2006/relationships/hyperlink" Target="https://www.coldwellbankerbain.com/p/122-Coppei-Ave-Waitsburg-WA-99361/dmgid_129301754" TargetMode="External"/><Relationship Id="rId518" Type="http://schemas.openxmlformats.org/officeDocument/2006/relationships/hyperlink" Target="https://jwleaks.files.wordpress.com/2019/01/watchtower-brooklyn-real-estate-transfers-2004-2018.pdf" TargetMode="External"/><Relationship Id="rId517" Type="http://schemas.openxmlformats.org/officeDocument/2006/relationships/hyperlink" Target="https://jwleaks.files.wordpress.com/2019/01/watchtower-brooklyn-real-estate-transfers-2004-2018.pdf" TargetMode="External"/><Relationship Id="rId759" Type="http://schemas.openxmlformats.org/officeDocument/2006/relationships/hyperlink" Target="https://www.realtor.com/realestateandhomes-detail/112-W-Nob-Hill-Blvd_Yakima_WA_98902_M91914-48057" TargetMode="External"/><Relationship Id="rId516" Type="http://schemas.openxmlformats.org/officeDocument/2006/relationships/hyperlink" Target="https://jwleaks.files.wordpress.com/2019/01/watchtower-brooklyn-real-estate-transfers-2004-2018.pdf" TargetMode="External"/><Relationship Id="rId758" Type="http://schemas.openxmlformats.org/officeDocument/2006/relationships/hyperlink" Target="https://www.xome.com/realestate/2506-w-mead-ave-yakima-wa-98902-111085515" TargetMode="External"/><Relationship Id="rId515" Type="http://schemas.openxmlformats.org/officeDocument/2006/relationships/hyperlink" Target="https://jwleaks.files.wordpress.com/2019/01/watchtower-brooklyn-real-estate-transfers-2004-2018.pdf" TargetMode="External"/><Relationship Id="rId757" Type="http://schemas.openxmlformats.org/officeDocument/2006/relationships/hyperlink" Target="https://www.xome.com/realestate/1614-mckinley-ave-yakima-wa-98902-112677819" TargetMode="External"/><Relationship Id="rId15" Type="http://schemas.openxmlformats.org/officeDocument/2006/relationships/hyperlink" Target="https://www.realestate.com.au/sold/property-house-qld-camp+hill-131673554" TargetMode="External"/><Relationship Id="rId14" Type="http://schemas.openxmlformats.org/officeDocument/2006/relationships/hyperlink" Target="http://img.ksou.cn/p.php?q=Caboolture&amp;sta=qld&amp;id=1296556&amp;address=8+Grout+Street%2C+Caboolture" TargetMode="External"/><Relationship Id="rId17" Type="http://schemas.openxmlformats.org/officeDocument/2006/relationships/hyperlink" Target="https://www.realestate.com.au/property/68-laughlin-st-kingston-qld-4114" TargetMode="External"/><Relationship Id="rId16" Type="http://schemas.openxmlformats.org/officeDocument/2006/relationships/hyperlink" Target="https://www.onthehouse.com.au/property/qld/clontarf-4019/3--7-lavelle-ct-clontarf-qld-4019-13811034" TargetMode="External"/><Relationship Id="rId19" Type="http://schemas.openxmlformats.org/officeDocument/2006/relationships/hyperlink" Target="https://www.realestate.com.au/sold/property-house-qld-miles-122955890" TargetMode="External"/><Relationship Id="rId510" Type="http://schemas.openxmlformats.org/officeDocument/2006/relationships/hyperlink" Target="https://jwleaks.files.wordpress.com/2019/01/watchtower-brooklyn-real-estate-transfers-2004-2018.pdf" TargetMode="External"/><Relationship Id="rId752" Type="http://schemas.openxmlformats.org/officeDocument/2006/relationships/hyperlink" Target="https://epip.co.pierce.wa.us/CFApps/atr/ePIP/sales.cfm?parcel=5575000090" TargetMode="External"/><Relationship Id="rId18" Type="http://schemas.openxmlformats.org/officeDocument/2006/relationships/hyperlink" Target="https://www.realestate.com.au/property/42-sattler-rd-meridan-plains-qld-4551" TargetMode="External"/><Relationship Id="rId751" Type="http://schemas.openxmlformats.org/officeDocument/2006/relationships/hyperlink" Target="https://www.xome.com/realestate/345-n-11th-st-sunnyside-wa-98944-114618456" TargetMode="External"/><Relationship Id="rId750" Type="http://schemas.openxmlformats.org/officeDocument/2006/relationships/hyperlink" Target="https://liverealestate.com/homes-for-sale-sold-details/15704-E-SPRAGUE-AVE-SPOKANE-VALLEY-WA-99037/201727041/220/" TargetMode="External"/><Relationship Id="rId84" Type="http://schemas.openxmlformats.org/officeDocument/2006/relationships/hyperlink" Target="https://www.fundainbusiness.nl/kantoor/verkocht/maastricht/object-40652042-peymeestersdreef-22/" TargetMode="External"/><Relationship Id="rId83" Type="http://schemas.openxmlformats.org/officeDocument/2006/relationships/hyperlink" Target="http://jamaica-gleaner.com/article/news/20160410/jehovahs-witnesses-properties-sale-rising-costs-force-religious-group-go-small" TargetMode="External"/><Relationship Id="rId86" Type="http://schemas.openxmlformats.org/officeDocument/2006/relationships/hyperlink" Target="https://www.oneroof.co.nz/estimate/690-toe-toe-road-mangaweka-rangitikei-manawatu-wanganui-581622" TargetMode="External"/><Relationship Id="rId85" Type="http://schemas.openxmlformats.org/officeDocument/2006/relationships/hyperlink" Target="https://www.qv.co.nz/property/20-rimu-street-naenae-lower-hutt-5011/942331" TargetMode="External"/><Relationship Id="rId88" Type="http://schemas.openxmlformats.org/officeDocument/2006/relationships/hyperlink" Target="https://www.ratemyagent.co.nz/real-estate-agency/bayleys-upper-hutt-bayleys-realty-group-ltd/property-listings/94-wainuiomata-rd-wainuiomata-aaev3f" TargetMode="External"/><Relationship Id="rId87" Type="http://schemas.openxmlformats.org/officeDocument/2006/relationships/hyperlink" Target="https://www.qv.co.nz/property/44-barrett-road-whalers-gate-new-plymouth-4310/2835266" TargetMode="External"/><Relationship Id="rId89" Type="http://schemas.openxmlformats.org/officeDocument/2006/relationships/hyperlink" Target="https://www.oneroof.co.nz/estimate/198-mahia-road-wattle-downs-1937680" TargetMode="External"/><Relationship Id="rId709" Type="http://schemas.openxmlformats.org/officeDocument/2006/relationships/hyperlink" Target="https://www.realtor.com/realestateandhomes-detail/59-W-8th-St_Pottstown_PA_19464_M37774-53317" TargetMode="External"/><Relationship Id="rId708" Type="http://schemas.openxmlformats.org/officeDocument/2006/relationships/hyperlink" Target="https://www.xome.com/realestate/433-w-mountain-rd-plymouth-pa-18651-146606805" TargetMode="External"/><Relationship Id="rId707" Type="http://schemas.openxmlformats.org/officeDocument/2006/relationships/hyperlink" Target="https://www.realtytrac.com/property/pa/pittsburgh/15239/801-pierson-run-rd/179176672/" TargetMode="External"/><Relationship Id="rId706" Type="http://schemas.openxmlformats.org/officeDocument/2006/relationships/hyperlink" Target="https://www.coldwellbankerhomes.com/pa/pittsburgh/7901-dollman-rd/pid_33503371/" TargetMode="External"/><Relationship Id="rId80" Type="http://schemas.openxmlformats.org/officeDocument/2006/relationships/hyperlink" Target="http://jamaica-gleaner.com/article/news/20160410/jehovahs-witnesses-properties-sale-rising-costs-force-religious-group-go-small" TargetMode="External"/><Relationship Id="rId82" Type="http://schemas.openxmlformats.org/officeDocument/2006/relationships/hyperlink" Target="http://jamaica-gleaner.com/article/news/20160410/jehovahs-witnesses-properties-sale-rising-costs-force-religious-group-go-small" TargetMode="External"/><Relationship Id="rId81" Type="http://schemas.openxmlformats.org/officeDocument/2006/relationships/hyperlink" Target="http://jamaica-gleaner.com/article/news/20160410/jehovahs-witnesses-properties-sale-rising-costs-force-religious-group-go-small" TargetMode="External"/><Relationship Id="rId701" Type="http://schemas.openxmlformats.org/officeDocument/2006/relationships/hyperlink" Target="https://www.realtor.com/realestateandhomes-detail/307-W-Tabor-Rd_Philadelphia_PA_19120_M46422-35405" TargetMode="External"/><Relationship Id="rId700" Type="http://schemas.openxmlformats.org/officeDocument/2006/relationships/hyperlink" Target="https://www.realtor.com/realestateandhomes-detail/8233-Stenton-Ave_Philadelphia_PA_19150_M30325-12292" TargetMode="External"/><Relationship Id="rId705" Type="http://schemas.openxmlformats.org/officeDocument/2006/relationships/hyperlink" Target="https://www.realtor.com/realestateandhomes-detail/1462-Brookline-Blvd_Pittsburgh_PA_15226_M96212-46672" TargetMode="External"/><Relationship Id="rId704" Type="http://schemas.openxmlformats.org/officeDocument/2006/relationships/hyperlink" Target="https://megasupplypro.com/projects/1539-n-26th-street" TargetMode="External"/><Relationship Id="rId703" Type="http://schemas.openxmlformats.org/officeDocument/2006/relationships/hyperlink" Target="https://www.xome.com/realestate/2921-w-clearfield-st-philadelphia-pa-19132-91692658" TargetMode="External"/><Relationship Id="rId702" Type="http://schemas.openxmlformats.org/officeDocument/2006/relationships/hyperlink" Target="https://www.realtor.com/realestateandhomes-detail/2314-E-Allegheny-Ave_Philadelphia_PA_19134_M47520-73303" TargetMode="External"/><Relationship Id="rId73" Type="http://schemas.openxmlformats.org/officeDocument/2006/relationships/hyperlink" Target="https://rp-online.de/nrw/staedte/wermelskirchen/zeugen-jehovas-verkaufen-ihr-gebaeude_aid-46020487?fbclid=IwAR229X7dVUv2ZqNnlVWqOJPVMgMc2HDAbslMYpVjzYE-88u_sFnVmaukhjw" TargetMode="External"/><Relationship Id="rId72" Type="http://schemas.openxmlformats.org/officeDocument/2006/relationships/hyperlink" Target="https://www.badische-zeitung.de/weiler-gemeinde-der-zeugen-jehovas-verkauft-den-koenigreichssaal--110756489.html" TargetMode="External"/><Relationship Id="rId75" Type="http://schemas.openxmlformats.org/officeDocument/2006/relationships/hyperlink" Target="https://www.suedkurier.de/region/hochrhein/grenzach-wyhlen/Zeugen-Jehovas-verkaufen-ihren-Koenigreichssaal-in-Grenzach-Wyhlen;art372596,9079676" TargetMode="External"/><Relationship Id="rId74" Type="http://schemas.openxmlformats.org/officeDocument/2006/relationships/hyperlink" Target="https://www.immowelt.de/expose/2s3bk4b" TargetMode="External"/><Relationship Id="rId77" Type="http://schemas.openxmlformats.org/officeDocument/2006/relationships/hyperlink" Target="https://www.savills.com.hk/_news/article/574/141879-0/12/2015/savills-appointed-sole-agent-for-the-tender-sale-of-12-and-14-kent-road--kowloon-tong" TargetMode="External"/><Relationship Id="rId76" Type="http://schemas.openxmlformats.org/officeDocument/2006/relationships/hyperlink" Target="http://www.pspgreece.gr/en/commercial/kifisias-77" TargetMode="External"/><Relationship Id="rId79" Type="http://schemas.openxmlformats.org/officeDocument/2006/relationships/hyperlink" Target="http://jamaica-gleaner.com/article/news/20160410/jehovahs-witnesses-properties-sale-rising-costs-force-religious-group-go-small" TargetMode="External"/><Relationship Id="rId78" Type="http://schemas.openxmlformats.org/officeDocument/2006/relationships/hyperlink" Target="https://www.irishtimes.com/business/commercial-property/jehovah-s-witness-to-sell-irish-hq-1.615365?fbclid=IwAR3t8obvT2E5oE3w4czoFTM7epM9hRILbvlNk0EZyDPajeX9BmHDEChmI6E" TargetMode="External"/><Relationship Id="rId71" Type="http://schemas.openxmlformats.org/officeDocument/2006/relationships/hyperlink" Target="https://www.immo-makler-team.de/immobilienangebote.xhtml?id%5Bobj0%5D=813" TargetMode="External"/><Relationship Id="rId70" Type="http://schemas.openxmlformats.org/officeDocument/2006/relationships/hyperlink" Target="https://www.immobilienscout24.de/expose/112053140" TargetMode="External"/><Relationship Id="rId62" Type="http://schemas.openxmlformats.org/officeDocument/2006/relationships/hyperlink" Target="https://www.kalaydo.de/immobilien/haus-kaufen/haus+im+teileigentum/a/a9c0b7ac/?" TargetMode="External"/><Relationship Id="rId61" Type="http://schemas.openxmlformats.org/officeDocument/2006/relationships/hyperlink" Target="https://www.wn.de/Muensterland/Kreis-Steinfurt/Lengerich/3673435-Zeugen-Jehovas-geben-Koenigreichssaal-auf-Immobilie-soll-verkauft-werden" TargetMode="External"/><Relationship Id="rId64" Type="http://schemas.openxmlformats.org/officeDocument/2006/relationships/hyperlink" Target="https://www.rheinland.immo/Objekt--in-Kerken-Nieukerk-ehemaliger-bahnhof-inkl.-versammlungssaal-grossflaechiger-wohnung-baulandreserve/IB-1849.htm" TargetMode="External"/><Relationship Id="rId63" Type="http://schemas.openxmlformats.org/officeDocument/2006/relationships/hyperlink" Target="https://www.immowelt.de/expose/2pz4f4x" TargetMode="External"/><Relationship Id="rId66" Type="http://schemas.openxmlformats.org/officeDocument/2006/relationships/hyperlink" Target="https://www.immobilienscout24.de/expose/86742480?utm_medium=referral&amp;utm_source=immosuchmaschine.de&amp;utm_campaign=residential&amp;utm_content=residential_expose" TargetMode="External"/><Relationship Id="rId65" Type="http://schemas.openxmlformats.org/officeDocument/2006/relationships/hyperlink" Target="https://www.immo-makler-team.de/immobilienangebote.xhtml?id%5Bobj0%5D=903" TargetMode="External"/><Relationship Id="rId68" Type="http://schemas.openxmlformats.org/officeDocument/2006/relationships/hyperlink" Target="https://www.ebay-kleinanzeigen.de/s-anzeige/vereinssaal-mit-zwei-wohnungen-in-schlangen/1345813602-208-1250?fbclid=IwAR2x9eymBEJCr2FLAldOUAoiueykH-C8Qjyzzjsy8h9Ehv8Qznfpg30pAzg" TargetMode="External"/><Relationship Id="rId67" Type="http://schemas.openxmlformats.org/officeDocument/2006/relationships/hyperlink" Target="https://www.immo-makler-team.de/immobilienangebote.xhtml?id%5Bobj0%5D=835" TargetMode="External"/><Relationship Id="rId729" Type="http://schemas.openxmlformats.org/officeDocument/2006/relationships/hyperlink" Target="https://www.google.com/maps/place/207+Bell+Dr,+Danville,+VA+24541/@36.5615633,-79.4169525,3a,75y,59.78h,78.41t/data=!3m8!1e1!3m6!1s3tmAXCUlznh4yPTUFJurBw!2e0!3e11!6s%2F%2Fgeo0.ggpht.com%2Fmaps%2Fphotothumb%2Ffd%2Fv1%3Fbpb%3DChEKD3NlYXJjaC5nd3MtcHJvZBJmCjgJj94dX4S0UogR-zmgk5CR144aJAsQ04W4QhobEhkKFAoSCY_eHV-EtFKIEcDsVNmrQDRlEM8BDBIKDbXZyhUVu-6p0BoSCUeNamSEtFKIEdYcKpxB0AMeKgoNtdnKFRW77qnQGgUIeBDoAg%26gl%3DUS!7i13312!8i6656!4m5!3m4!1s0x8852b4845f1dde8f:0x8ed7919093a039fb!8m2!3d36.5615541!4d-79.4169669" TargetMode="External"/><Relationship Id="rId728" Type="http://schemas.openxmlformats.org/officeDocument/2006/relationships/hyperlink" Target="https://www.xome.com/commercial-for-sale/1189-W-hwy-90-Other-TX-78962-326896366" TargetMode="External"/><Relationship Id="rId60" Type="http://schemas.openxmlformats.org/officeDocument/2006/relationships/hyperlink" Target="https://www.wp.de/staedte/meschede-und-umland/zeugen-jehovas-verkaufen-ihren-koenigreichssaal-id11141965.html" TargetMode="External"/><Relationship Id="rId723" Type="http://schemas.openxmlformats.org/officeDocument/2006/relationships/hyperlink" Target="https://www.zillow.com/homedetails/550-E-Ashley-Rd-San-Antonio-TX-78221/102455157_zpid/" TargetMode="External"/><Relationship Id="rId722" Type="http://schemas.openxmlformats.org/officeDocument/2006/relationships/hyperlink" Target="https://www.realtor.com/realestateandhomes-detail/23788-Fm-1314-Rd_Porter_TX_77365_M87217-89450" TargetMode="External"/><Relationship Id="rId721" Type="http://schemas.openxmlformats.org/officeDocument/2006/relationships/hyperlink" Target="https://www.movoto.com/houston-tx/4934-e-cruse-houston-tx-77016-403_12872524/" TargetMode="External"/><Relationship Id="rId720" Type="http://schemas.openxmlformats.org/officeDocument/2006/relationships/hyperlink" Target="https://www.enrichedrealestate.com/11914-7Th-St-Houston-TX-77072/InstitutionalSpecialPurposeBuildings/Religious/Id=131253" TargetMode="External"/><Relationship Id="rId727" Type="http://schemas.openxmlformats.org/officeDocument/2006/relationships/hyperlink" Target="https://www.realtor.com/realestateandhomes-detail/205-E-8th-St_Van-Horn_TX_79855_M83393-65246" TargetMode="External"/><Relationship Id="rId726" Type="http://schemas.openxmlformats.org/officeDocument/2006/relationships/hyperlink" Target="https://www.hairerealty.com/-/listing/AR-TBOR/100437/3003-Norton-Texarkana-TX-75503" TargetMode="External"/><Relationship Id="rId725" Type="http://schemas.openxmlformats.org/officeDocument/2006/relationships/hyperlink" Target="https://www.movoto.com/san-antonio-tx/4509-pleasanton-rd-san-antonio-tx-78221-401_1287465/" TargetMode="External"/><Relationship Id="rId724" Type="http://schemas.openxmlformats.org/officeDocument/2006/relationships/hyperlink" Target="https://www.zillow.com/homedetails/224-Hobart-St-San-Antonio-TX-78237/102488560_zpid/" TargetMode="External"/><Relationship Id="rId69" Type="http://schemas.openxmlformats.org/officeDocument/2006/relationships/hyperlink" Target="https://mapio.net/expose/3239505/?gallery=2" TargetMode="External"/><Relationship Id="rId51" Type="http://schemas.openxmlformats.org/officeDocument/2006/relationships/hyperlink" Target="https://www.immo-makler-team.de/immobilienangebote.xhtml?id%5Bobj0%5D=899" TargetMode="External"/><Relationship Id="rId50" Type="http://schemas.openxmlformats.org/officeDocument/2006/relationships/hyperlink" Target="https://www.immo-makler-team.de/immobilienangebote.xhtml?id%5Bobj0%5D=809" TargetMode="External"/><Relationship Id="rId53" Type="http://schemas.openxmlformats.org/officeDocument/2006/relationships/hyperlink" Target="https://www.suedkurier.de/region/kreis-konstanz/singen/mehr-platz-fuer-kinder-ehemaliger-versammlungsraum-der-zeugen-jehovas-soll-zum-kindergarten-werden;art372458,10568456" TargetMode="External"/><Relationship Id="rId52" Type="http://schemas.openxmlformats.org/officeDocument/2006/relationships/hyperlink" Target="https://www.immobilienscout24.de/expose/114945922" TargetMode="External"/><Relationship Id="rId55" Type="http://schemas.openxmlformats.org/officeDocument/2006/relationships/hyperlink" Target="https://wahrheitenjetzt.de/jehovas-zeugen-koenigreichssaele-werden-ueber-ebay-kleinanzeigen-teuer-verkauft/" TargetMode="External"/><Relationship Id="rId54" Type="http://schemas.openxmlformats.org/officeDocument/2006/relationships/hyperlink" Target="https://www.immo-makler-team.de/immobilienangebote.xhtml?id%5Bobj0%5D=865" TargetMode="External"/><Relationship Id="rId57" Type="http://schemas.openxmlformats.org/officeDocument/2006/relationships/hyperlink" Target="https://www.immobilienscout24.de/expose/111480947" TargetMode="External"/><Relationship Id="rId56" Type="http://schemas.openxmlformats.org/officeDocument/2006/relationships/hyperlink" Target="https://wahrheitenjetzt.de/jehovas-zeugen-koenigreichssaal-in-marl-wird-bei-ebay-verkauft/" TargetMode="External"/><Relationship Id="rId719" Type="http://schemas.openxmlformats.org/officeDocument/2006/relationships/hyperlink" Target="https://www.zillow.com/homedetails/626-W-Main-St-Fairfield-TX-75840/2089836751_zpid/" TargetMode="External"/><Relationship Id="rId718" Type="http://schemas.openxmlformats.org/officeDocument/2006/relationships/hyperlink" Target="https://www.trulia.com/p/tn/cumberland-gap/1230-highway-63-cumberland-gap-tn-37724--2040432436" TargetMode="External"/><Relationship Id="rId717" Type="http://schemas.openxmlformats.org/officeDocument/2006/relationships/hyperlink" Target="https://www.realtor.com/realestateandhomes-detail/120-Warner-Dr_Columbia_SC_29223_M99251-86719" TargetMode="External"/><Relationship Id="rId712" Type="http://schemas.openxmlformats.org/officeDocument/2006/relationships/hyperlink" Target="https://www.xome.com/realestate/3450-w-college-ave-state-college-pa-16801-92264788" TargetMode="External"/><Relationship Id="rId711" Type="http://schemas.openxmlformats.org/officeDocument/2006/relationships/hyperlink" Target="https://www.xome.com/realestate/62-pitney-st-sayre-pa-18840-92144573" TargetMode="External"/><Relationship Id="rId710" Type="http://schemas.openxmlformats.org/officeDocument/2006/relationships/hyperlink" Target="https://www.coldwellbankerhomes.com/pa/saxonburg-boro/1046-ekastown-rd/pid_34092740/" TargetMode="External"/><Relationship Id="rId716" Type="http://schemas.openxmlformats.org/officeDocument/2006/relationships/hyperlink" Target="https://www.google.com/maps/place/270+S+Belvidere+Ave,+York,+PA+17401/@39.9529838,-76.7430569,3a,75y,201.08h,93.8t/data=!3m6!1e1!3m4!1saiIY2oHuGHwgzYPgae_aLA!2e0!7i16384!8i8192!4m5!3m4!1s0x89c88c0791fae45b:0xf3c816411313ca1f!8m2!3d39.9530361!4d-76.7433577" TargetMode="External"/><Relationship Id="rId715" Type="http://schemas.openxmlformats.org/officeDocument/2006/relationships/hyperlink" Target="https://www.xome.com/realestate/3535-foster-rd-white-oak-pa-15131-93909306" TargetMode="External"/><Relationship Id="rId714" Type="http://schemas.openxmlformats.org/officeDocument/2006/relationships/hyperlink" Target="https://www.coldwellbankerhomes.com/central-pennsylvania/401-green-st/pid_33006975/" TargetMode="External"/><Relationship Id="rId713" Type="http://schemas.openxmlformats.org/officeDocument/2006/relationships/hyperlink" Target="https://www.xome.com/realestate/521-schuylkill-ave-tamaqua-pa-18252-93804754" TargetMode="External"/><Relationship Id="rId59" Type="http://schemas.openxmlformats.org/officeDocument/2006/relationships/hyperlink" Target="https://wahrheitenjetzt.de/jehovas-zeugen-koenigreichssaele-werden-ueber-ebay-kleinanzeigen-teuer-verkauft/" TargetMode="External"/><Relationship Id="rId58" Type="http://schemas.openxmlformats.org/officeDocument/2006/relationships/hyperlink" Target="https://www.1a-immobilienmarkt.de/expose/2996741.html?" TargetMode="External"/><Relationship Id="rId590" Type="http://schemas.openxmlformats.org/officeDocument/2006/relationships/hyperlink" Target="https://www.realliving.com/commercial-for-sale/62700-Barnesville-Hendrysburg-Road-Barnesville-OH-43713-212685644" TargetMode="External"/><Relationship Id="rId107" Type="http://schemas.openxmlformats.org/officeDocument/2006/relationships/hyperlink" Target="https://www.otodom.pl/oferta/wielun-dom-w-atrakcyjnej-lokalizacji-miasta-ID46EU1.html" TargetMode="External"/><Relationship Id="rId349" Type="http://schemas.openxmlformats.org/officeDocument/2006/relationships/hyperlink" Target="https://www.talktotucker.com/homes/500-n-oak-street-n-columbia-city-in-46725/256319" TargetMode="External"/><Relationship Id="rId106" Type="http://schemas.openxmlformats.org/officeDocument/2006/relationships/hyperlink" Target="https://www.otodom.pl/oferta/dzialka-blisko-jeziora-czortynskiego-ID45nOh.html" TargetMode="External"/><Relationship Id="rId348" Type="http://schemas.openxmlformats.org/officeDocument/2006/relationships/hyperlink" Target="https://www.realtor.com/realestateandhomes-detail/1020-W-Ensley-Ave_Auburn_IN_46706_M95091-82475" TargetMode="External"/><Relationship Id="rId105" Type="http://schemas.openxmlformats.org/officeDocument/2006/relationships/hyperlink" Target="https://www.otodom.pl/oferta/dobra-cena-dom-na-kosminku-lublin-ID47a1D.html" TargetMode="External"/><Relationship Id="rId347" Type="http://schemas.openxmlformats.org/officeDocument/2006/relationships/hyperlink" Target="https://www.xome.com/realestate/224-linton-st-wood-river-il-62095-36965167" TargetMode="External"/><Relationship Id="rId589" Type="http://schemas.openxmlformats.org/officeDocument/2006/relationships/hyperlink" Target="https://www.xome.com/commercial-for-sale/1814-S-Main-Street-Akron-OH-44301-237206223" TargetMode="External"/><Relationship Id="rId104" Type="http://schemas.openxmlformats.org/officeDocument/2006/relationships/hyperlink" Target="https://www.otodom.pl/oferta/ladny-dom-z-duza-dzialka-175-m2-wola-rychwalska-ID44zXj.html" TargetMode="External"/><Relationship Id="rId346" Type="http://schemas.openxmlformats.org/officeDocument/2006/relationships/hyperlink" Target="https://www.xome.com/commercial-for-sale/425-W-North-Street-Watseka-IL-60970-330883931" TargetMode="External"/><Relationship Id="rId588" Type="http://schemas.openxmlformats.org/officeDocument/2006/relationships/hyperlink" Target="https://www.zillow.com/homedetails/927-N-Portage-Path-Akron-OH-44303/2087922775_zpid/" TargetMode="External"/><Relationship Id="rId109" Type="http://schemas.openxmlformats.org/officeDocument/2006/relationships/hyperlink" Target="https://www.otodom.pl/oferta/dom-duza-dzialka-kostomloty-ID40iwa.html" TargetMode="External"/><Relationship Id="rId108" Type="http://schemas.openxmlformats.org/officeDocument/2006/relationships/hyperlink" Target="https://www.otodom.pl/oferta/dom-z-funkcja-mieszkalno-uslugowa-nowa-cena-ID3QJEY.html" TargetMode="External"/><Relationship Id="rId341" Type="http://schemas.openxmlformats.org/officeDocument/2006/relationships/hyperlink" Target="https://www.ruhlhomes.com/for-sale/homes/7002-john-deere-parkway-moline-il-61265-7039735-825008/" TargetMode="External"/><Relationship Id="rId583" Type="http://schemas.openxmlformats.org/officeDocument/2006/relationships/hyperlink" Target="https://www.howardhanna.com/Property/Detail/7605-Plank-Academy-Street-Westfield-NY-14787/RochesterNY/R1266565" TargetMode="External"/><Relationship Id="rId340" Type="http://schemas.openxmlformats.org/officeDocument/2006/relationships/hyperlink" Target="https://www.realtor.com/realestateandhomes-detail/192-E-US-Highway-52_Mendota_IL_61342_M82899-29054" TargetMode="External"/><Relationship Id="rId582" Type="http://schemas.openxmlformats.org/officeDocument/2006/relationships/hyperlink" Target="https://www.xome.com/realestate/342-belmont-ave-west-babylon-ny-11704-135790739" TargetMode="External"/><Relationship Id="rId581" Type="http://schemas.openxmlformats.org/officeDocument/2006/relationships/hyperlink" Target="https://exitrealty.com/listing/nyjlborS1188308/24650_Hinds__Pamelia__NY_13601/" TargetMode="External"/><Relationship Id="rId580" Type="http://schemas.openxmlformats.org/officeDocument/2006/relationships/hyperlink" Target="https://www.coldwellbankerprime.com/p/7758-Maple-Road-Van-Buren-NY-13027/dmgid_135632415" TargetMode="External"/><Relationship Id="rId103" Type="http://schemas.openxmlformats.org/officeDocument/2006/relationships/hyperlink" Target="https://www.otodom.pl/oferta/doskonala-nieruchomosc-pod-dzialalnosc-gosp-105-m2-ID45Amz.html" TargetMode="External"/><Relationship Id="rId345" Type="http://schemas.openxmlformats.org/officeDocument/2006/relationships/hyperlink" Target="https://www.realtor.com/realestateandhomes-detail/4150-Sandhill-Rd_Springfield_IL_62702_M71838-19049" TargetMode="External"/><Relationship Id="rId587" Type="http://schemas.openxmlformats.org/officeDocument/2006/relationships/hyperlink" Target="https://www.loopnet.com/Listing/365-Palmer-Rd-Yonkers-NY/13191566/" TargetMode="External"/><Relationship Id="rId102" Type="http://schemas.openxmlformats.org/officeDocument/2006/relationships/hyperlink" Target="https://www.otodom.pl/oferta/doskonala-dzialka-budowlana-1019-m2-ID4766W.html" TargetMode="External"/><Relationship Id="rId344" Type="http://schemas.openxmlformats.org/officeDocument/2006/relationships/hyperlink" Target="https://www.xome.com/realestate/1121-chatham-rd-springfield-il-62704-38008432" TargetMode="External"/><Relationship Id="rId586" Type="http://schemas.openxmlformats.org/officeDocument/2006/relationships/hyperlink" Target="https://www.realtor.com/realestateandhomes-detail/12353-Tyrrell-St_Wolcott_NY_14590_M38214-13799" TargetMode="External"/><Relationship Id="rId101" Type="http://schemas.openxmlformats.org/officeDocument/2006/relationships/hyperlink" Target="https://www.otodom.pl/oferta/funkcjonalny-dom-217-m2-ostrow-wielkopolski-ID44fEp.html" TargetMode="External"/><Relationship Id="rId343" Type="http://schemas.openxmlformats.org/officeDocument/2006/relationships/hyperlink" Target="https://www.realtor.com/realestateandhomes-detail/615-Oak-St_Rockford_IL_61104_M86781-06702" TargetMode="External"/><Relationship Id="rId585" Type="http://schemas.openxmlformats.org/officeDocument/2006/relationships/hyperlink" Target="https://www.xome.com/realestate/6710-main-st-williamsville-ny-14221-77497190?hv=1" TargetMode="External"/><Relationship Id="rId100" Type="http://schemas.openxmlformats.org/officeDocument/2006/relationships/hyperlink" Target="https://www.otodom.pl/oferta/atrakcyjny-lokal-uzytkowy-z-mieszkaniem-330-m2-ID45YIE.html" TargetMode="External"/><Relationship Id="rId342" Type="http://schemas.openxmlformats.org/officeDocument/2006/relationships/hyperlink" Target="https://youtu.be/nftXrd28acI" TargetMode="External"/><Relationship Id="rId584" Type="http://schemas.openxmlformats.org/officeDocument/2006/relationships/hyperlink" Target="https://www.howardhanna.com/Property/Detail/7605-Plank-Academy-Street-Westfield-NY-14787/RochesterNY/R1266565" TargetMode="External"/><Relationship Id="rId338" Type="http://schemas.openxmlformats.org/officeDocument/2006/relationships/hyperlink" Target="https://www.movoto.com/harvey-il/117-e-154th-st-harvey-il-60426-461_08737097/" TargetMode="External"/><Relationship Id="rId337" Type="http://schemas.openxmlformats.org/officeDocument/2006/relationships/hyperlink" Target="https://www.xome.com/realestate/809-e-main-st-knoxville-il-61448-37796035" TargetMode="External"/><Relationship Id="rId579" Type="http://schemas.openxmlformats.org/officeDocument/2006/relationships/hyperlink" Target="https://www.google.com/maps/place/1631+Kemble+St,+Utica,+NY+13501/@43.0870995,-75.2474852,3a,75y,118.36h,90t/data=!3m6!1e1!3m4!1s83JLW0PkO-4Ln9_Zhww1jQ!2e0!7i13312!8i6656!4m5!3m4!1s0x89d946ccd8043d45:0xb8a9e02194e78c3c!8m2!3d43.0869773!4d-75.2471541" TargetMode="External"/><Relationship Id="rId336" Type="http://schemas.openxmlformats.org/officeDocument/2006/relationships/hyperlink" Target="https://www.loopnet.com/Listing/18345877/906-E-Prairie-St-Jerseyville-IL/" TargetMode="External"/><Relationship Id="rId578" Type="http://schemas.openxmlformats.org/officeDocument/2006/relationships/hyperlink" Target="https://www.realtytrac.com/property/ny/syracuse/13206/135-walter-dr/32737565/" TargetMode="External"/><Relationship Id="rId335" Type="http://schemas.openxmlformats.org/officeDocument/2006/relationships/hyperlink" Target="https://www.coldwellbankerhomes.com/il/chicago/1515-west-wolfram-street/pid_23792681/" TargetMode="External"/><Relationship Id="rId577" Type="http://schemas.openxmlformats.org/officeDocument/2006/relationships/hyperlink" Target="https://www.google.com/maps/place/Kingdom+Hall+of+Jehovah's+Witnesses/@43.0544031,-79.2763816,8z/data=!4m8!1m2!2m1!1swheatland+ny+kingdom+hall+of+jehovah's+witnesses!3m4!1s0x89d150cf213573bd:0x37027b5ca4f2c07b!8m2!3d43.0120434!4d-77.827884" TargetMode="External"/><Relationship Id="rId339" Type="http://schemas.openxmlformats.org/officeDocument/2006/relationships/hyperlink" Target="https://www.viewegrealestate.com/real-estate/3322-moultrie-avenue-mattoon-il-61938/6182114/59032167" TargetMode="External"/><Relationship Id="rId330" Type="http://schemas.openxmlformats.org/officeDocument/2006/relationships/hyperlink" Target="https://www.coldwellbankerhomes.com/il/barrington/950-west-northwest-hwy/pid_33282185/?fbclid=IwAR0k96u_Iz2OfmR1o9kgjoqC7edIGu75DRMdYQ2J0FeXY1wqw02C4cHYaxU" TargetMode="External"/><Relationship Id="rId572" Type="http://schemas.openxmlformats.org/officeDocument/2006/relationships/hyperlink" Target="https://www.realtytrac.com/property/ny/niagara-falls/14303/359-14th-st/146791852/" TargetMode="External"/><Relationship Id="rId571" Type="http://schemas.openxmlformats.org/officeDocument/2006/relationships/hyperlink" Target="https://www.howardhanna.com/Property/Detail/6456-Charlotteville-Road-Newfane-NY-14108/BuffaloNY/B1159844" TargetMode="External"/><Relationship Id="rId570" Type="http://schemas.openxmlformats.org/officeDocument/2006/relationships/hyperlink" Target="https://www.point2homes.com/US/Commercial-For-Sale/NY/Ontario-County/Greater-Naples/8751-State-Route-21/88257215.html" TargetMode="External"/><Relationship Id="rId334" Type="http://schemas.openxmlformats.org/officeDocument/2006/relationships/hyperlink" Target="https://www.realtytrac.com/property/il/chicago/60623/4101-w-31st-st/144619566/" TargetMode="External"/><Relationship Id="rId576" Type="http://schemas.openxmlformats.org/officeDocument/2006/relationships/hyperlink" Target="https://www.xome.com/realestate/2913-culver-rd-rochester-ny-14622-72520371" TargetMode="External"/><Relationship Id="rId333" Type="http://schemas.openxmlformats.org/officeDocument/2006/relationships/hyperlink" Target="https://www.realtytrac.com/property/il/chicago/60637/1401-e-marquette-rd/175898406/" TargetMode="External"/><Relationship Id="rId575" Type="http://schemas.openxmlformats.org/officeDocument/2006/relationships/hyperlink" Target="https://www.howardhanna.com/Property/Detail/2610-State-Route-12-Paris-NY-13456/SyracuseNYsold/1801005" TargetMode="External"/><Relationship Id="rId332" Type="http://schemas.openxmlformats.org/officeDocument/2006/relationships/hyperlink" Target="https://www.realtytrac.com/property/il/chicago/60827/935-e-134th-st/2541638/" TargetMode="External"/><Relationship Id="rId574" Type="http://schemas.openxmlformats.org/officeDocument/2006/relationships/hyperlink" Target="https://www.redfin.com/NY/Olean/2275-Dugan-Rd-14760/home/92795690" TargetMode="External"/><Relationship Id="rId331" Type="http://schemas.openxmlformats.org/officeDocument/2006/relationships/hyperlink" Target="https://www.google.com/maps/place/5566+Lincoln+Hwy+Rd,+Charleston,+IL+61920/@39.457089,-88.199577,3a,75y,135.52h,82.68t/data=!3m6!1e1!3m4!1snwVUb3vJb6AWuzA67XSVVw!2e0!7i16384!8i8192!4m5!3m4!1s0x887302dc7b846c11:0x1240db99d5dac291!8m2!3d39.4565795!4d-88.2001806" TargetMode="External"/><Relationship Id="rId573" Type="http://schemas.openxmlformats.org/officeDocument/2006/relationships/hyperlink" Target="https://www.realtytrac.com/property/ny/ogdensburg/13669/5442-state-highway-812/169964404/" TargetMode="External"/><Relationship Id="rId370" Type="http://schemas.openxmlformats.org/officeDocument/2006/relationships/hyperlink" Target="https://www.xome.com/realestate/41150-highway-42-prairieville-la-70769-51874573" TargetMode="External"/><Relationship Id="rId129" Type="http://schemas.openxmlformats.org/officeDocument/2006/relationships/hyperlink" Target="https://www.otodom.pl/oferta/kamienica-pod-inwestycje-ID44NvL.html" TargetMode="External"/><Relationship Id="rId128" Type="http://schemas.openxmlformats.org/officeDocument/2006/relationships/hyperlink" Target="https://www.otodom.pl/oferta/nowa-nizsza-cena-atrakcyjny-dom-z-potencjalem-ID41AL8.html" TargetMode="External"/><Relationship Id="rId127" Type="http://schemas.openxmlformats.org/officeDocument/2006/relationships/hyperlink" Target="https://www.otodom.pl/oferta/atrakcyjna-dzialka-budowlana-804-m2-jaworzno-ID46T3y.html" TargetMode="External"/><Relationship Id="rId369" Type="http://schemas.openxmlformats.org/officeDocument/2006/relationships/hyperlink" Target="https://www.latter-blum.com/p/2360-Lafiton-Ln-Port-Allen-LA-70767/dmgid_135772045" TargetMode="External"/><Relationship Id="rId126" Type="http://schemas.openxmlformats.org/officeDocument/2006/relationships/hyperlink" Target="https://www.otodom.pl/oferta/nowa-cena-budynek-parterowy-123-m2-sierakowo-ID4432r.html" TargetMode="External"/><Relationship Id="rId368" Type="http://schemas.openxmlformats.org/officeDocument/2006/relationships/hyperlink" Target="https://www.redfin.com/LA/New-Orleans/3536-St-Ferdinand-St-70126/home/85458973" TargetMode="External"/><Relationship Id="rId121" Type="http://schemas.openxmlformats.org/officeDocument/2006/relationships/hyperlink" Target="https://www.otodom.pl/oferta/duze-mozliwosci-dom-dzialkainwestycja-zobacz-ID470jJ.html" TargetMode="External"/><Relationship Id="rId363" Type="http://schemas.openxmlformats.org/officeDocument/2006/relationships/hyperlink" Target="https://www.realtytrac.com/property/la/franklinton/70438/2124-washington-st/215809669/" TargetMode="External"/><Relationship Id="rId120" Type="http://schemas.openxmlformats.org/officeDocument/2006/relationships/hyperlink" Target="https://www.otodom.pl/oferta/mieszkanie-37-5m2-w-bardzo-dobrej-lokalizacji-ID47bbW.html" TargetMode="External"/><Relationship Id="rId362" Type="http://schemas.openxmlformats.org/officeDocument/2006/relationships/hyperlink" Target="https://www.latter-blum.com/p/810-College-Road-Eunice-LA-70535/dmgid_136454512" TargetMode="External"/><Relationship Id="rId361" Type="http://schemas.openxmlformats.org/officeDocument/2006/relationships/hyperlink" Target="https://www.xome.com/realestate/205-humes-ridge-rd-williamstown-ky-41097-52021416" TargetMode="External"/><Relationship Id="rId360" Type="http://schemas.openxmlformats.org/officeDocument/2006/relationships/hyperlink" Target="https://www.loopnet.com/Listing/5433-Taylor-Mill-Rd-Taylor-Mill-KY/16112840/" TargetMode="External"/><Relationship Id="rId125" Type="http://schemas.openxmlformats.org/officeDocument/2006/relationships/hyperlink" Target="https://www.otodom.pl/oferta/atrakcyjna-dzialka-inwestycyjna-w-nadarzynie-ID3rn40.html" TargetMode="External"/><Relationship Id="rId367" Type="http://schemas.openxmlformats.org/officeDocument/2006/relationships/hyperlink" Target="https://www.zillow.com/homedetails/3709-General-Taylor-St-New-Orleans-LA-70125/84478095_zpid/" TargetMode="External"/><Relationship Id="rId124" Type="http://schemas.openxmlformats.org/officeDocument/2006/relationships/hyperlink" Target="https://www.otodom.pl/oferta/dobra-cena-okazja-lokal-uzytkowy-lisowice-94-ID46wJA.html" TargetMode="External"/><Relationship Id="rId366" Type="http://schemas.openxmlformats.org/officeDocument/2006/relationships/hyperlink" Target="https://www.manta.com/c/mtr10d6/abundant-life-internationalministry-inc" TargetMode="External"/><Relationship Id="rId123" Type="http://schemas.openxmlformats.org/officeDocument/2006/relationships/hyperlink" Target="https://www.otodom.pl/oferta/doskonala-lokalizacja-dom-216-m2-puck-ID45qmB.html" TargetMode="External"/><Relationship Id="rId365" Type="http://schemas.openxmlformats.org/officeDocument/2006/relationships/hyperlink" Target="https://www.google.com/maps/place/1310+S+Laurel+St,+Metairie,+LA+70003/@29.9748624,-90.2189185,3a,75y,313.73h,90t/data=!3m6!1e1!3m4!1sIby1SIQtHD5Q5-0ZuyRrlw!2e0!7i13312!8i6656!4m5!3m4!1s0x8620b0a9edc43ad3:0xcbd7a9bce02f976d!8m2!3d29.9750341!4d-90.2191188" TargetMode="External"/><Relationship Id="rId122" Type="http://schemas.openxmlformats.org/officeDocument/2006/relationships/hyperlink" Target="https://www.otodom.pl/oferta/lokal-uzytkowy-rozna-dzialalnosc-213-m2-gryfice-ID44f6t.html" TargetMode="External"/><Relationship Id="rId364" Type="http://schemas.openxmlformats.org/officeDocument/2006/relationships/hyperlink" Target="https://www.loopnet.com/property/214-enterprise-dr-houma-la-70360/22109-41829/" TargetMode="External"/><Relationship Id="rId95" Type="http://schemas.openxmlformats.org/officeDocument/2006/relationships/hyperlink" Target="https://www.otodom.pl/oferta/dzialka-budowlana-duze-mozliwosci-1805-m2-ID440om.html" TargetMode="External"/><Relationship Id="rId94" Type="http://schemas.openxmlformats.org/officeDocument/2006/relationships/hyperlink" Target="https://www.otodom.pl/oferta/szukasz-mieszkania-zobacz-45-50-m2-ID470bg.html" TargetMode="External"/><Relationship Id="rId97" Type="http://schemas.openxmlformats.org/officeDocument/2006/relationships/hyperlink" Target="https://www.otodom.pl/oferta/czersk-130-m2-adaptacja-na-mieszkanie-ID43KHU.html" TargetMode="External"/><Relationship Id="rId96" Type="http://schemas.openxmlformats.org/officeDocument/2006/relationships/hyperlink" Target="https://www.otodom.pl/oferta/lokal-uzytkowy-205-m2-do-zagospodarowania-unislaw-ID45OXK.html" TargetMode="External"/><Relationship Id="rId99" Type="http://schemas.openxmlformats.org/officeDocument/2006/relationships/hyperlink" Target="https://www.otodom.pl/oferta/centrum-gory-lokal-uzytkowy-76-55-m2-ID46F7L.html" TargetMode="External"/><Relationship Id="rId98" Type="http://schemas.openxmlformats.org/officeDocument/2006/relationships/hyperlink" Target="https://www.otodom.pl/oferta/dom-z-funkcja-mieszkalno-uslugowa-nowa-cena-ID3TGDu.html" TargetMode="External"/><Relationship Id="rId91" Type="http://schemas.openxmlformats.org/officeDocument/2006/relationships/hyperlink" Target="https://www.google.com/maps/place/Vossegata+34,+0475+Oslo,+Norway/@59.9330366,10.7703306,3a,75y,283.47h,97.29t/data=!3m6!1e1!3m4!1s82qJ_ANBAPITgfeadLb08Q!2e0!7i16384!8i8192!4m5!3m4!1s0x46416e40033474c1:0xe655dddf8f6c98cd!8m2!3d59.9330792!4d10.7698467" TargetMode="External"/><Relationship Id="rId90" Type="http://schemas.openxmlformats.org/officeDocument/2006/relationships/hyperlink" Target="https://naringsmegleren.no/eiendommer/til-salgs/?id=180221986" TargetMode="External"/><Relationship Id="rId93" Type="http://schemas.openxmlformats.org/officeDocument/2006/relationships/hyperlink" Target="https://clasipar.paraguay.com/motor/@hermoso_yate_para_vivir" TargetMode="External"/><Relationship Id="rId92" Type="http://schemas.openxmlformats.org/officeDocument/2006/relationships/hyperlink" Target="http://innsyn.seljord.kommune.no/innsynSeljord/Dmb/ShowDmbDocument?mId=410&amp;documentTypeId=MI" TargetMode="External"/><Relationship Id="rId118" Type="http://schemas.openxmlformats.org/officeDocument/2006/relationships/hyperlink" Target="https://www.otodom.pl/oferta/rybina-blisko-morza-dzialka-niezabudowana-2314-m2-ID43HkK.html" TargetMode="External"/><Relationship Id="rId117" Type="http://schemas.openxmlformats.org/officeDocument/2006/relationships/hyperlink" Target="https://www.otodom.pl/oferta/funkcjonalny-dom-234-m2-z-duza-dzialka-ID440oQ.html" TargetMode="External"/><Relationship Id="rId359" Type="http://schemas.openxmlformats.org/officeDocument/2006/relationships/hyperlink" Target="https://www.xome.com/homes-for-sale/2101-Rocky-Drive-Paris-KY-49095-324310670" TargetMode="External"/><Relationship Id="rId116" Type="http://schemas.openxmlformats.org/officeDocument/2006/relationships/hyperlink" Target="https://www.otodom.pl/oferta/atrakcyjna-dzialka-inwestycyjna-w-nadarzynie-ID3rn40.html" TargetMode="External"/><Relationship Id="rId358" Type="http://schemas.openxmlformats.org/officeDocument/2006/relationships/hyperlink" Target="https://www.sibcycline.com/Listing/NKY/523452/2185-Hwy-127-S-Owenton-KY-40359" TargetMode="External"/><Relationship Id="rId115" Type="http://schemas.openxmlformats.org/officeDocument/2006/relationships/hyperlink" Target="https://www.otodom.pl/oferta/piaseczno-dom-z-wygodnym-parkingiem-ID3x0K7.html" TargetMode="External"/><Relationship Id="rId357" Type="http://schemas.openxmlformats.org/officeDocument/2006/relationships/hyperlink" Target="https://www.rhr.com/ListingDetails/660-Park-View-Lane-Olive-Hill-KY-41164/1714279" TargetMode="External"/><Relationship Id="rId599" Type="http://schemas.openxmlformats.org/officeDocument/2006/relationships/hyperlink" Target="https://www.coldwellbankerhomes.com/oh/anderson-township/7577-forest-rd/pid_27015162/" TargetMode="External"/><Relationship Id="rId119" Type="http://schemas.openxmlformats.org/officeDocument/2006/relationships/hyperlink" Target="https://www.otodom.pl/oferta/piekna-dzialka-budowlana-0-5-ha-luczyna-ID47dKR.html" TargetMode="External"/><Relationship Id="rId110" Type="http://schemas.openxmlformats.org/officeDocument/2006/relationships/hyperlink" Target="https://www.otodom.pl/oferta/rozne-uslugi-lokal-uzytkowy-186-m2-rudno-ID43Jqq.html" TargetMode="External"/><Relationship Id="rId352" Type="http://schemas.openxmlformats.org/officeDocument/2006/relationships/hyperlink" Target="https://www.coldwellbankerhomes.com/in/knox/4190-e-216-s/pid_26154560/" TargetMode="External"/><Relationship Id="rId594" Type="http://schemas.openxmlformats.org/officeDocument/2006/relationships/hyperlink" Target="https://www.realtytrac.com/property/oh/canton/44707/1319-sherrick-rd-se/182009659/" TargetMode="External"/><Relationship Id="rId351" Type="http://schemas.openxmlformats.org/officeDocument/2006/relationships/hyperlink" Target="https://www.indystar.com/story/news/2016/08/19/megachurch-launches-downtown-location-27m-building-purchase/88963678/" TargetMode="External"/><Relationship Id="rId593" Type="http://schemas.openxmlformats.org/officeDocument/2006/relationships/hyperlink" Target="https://www.zillow.com/homedetails/710-Sanderson-Ave-Campbell-OH-44405/192357639_zpid/" TargetMode="External"/><Relationship Id="rId350" Type="http://schemas.openxmlformats.org/officeDocument/2006/relationships/hyperlink" Target="https://www.zillow.com/homedetails/6811-E-21st-St-Indianapolis-IN-46219/2118235952_zpid/" TargetMode="External"/><Relationship Id="rId592" Type="http://schemas.openxmlformats.org/officeDocument/2006/relationships/hyperlink" Target="https://www.howardhanna.com/Property/Detail/3158-Carrell-Road-Bucyrus-OH-44820/MansfieldOHSold/9038832" TargetMode="External"/><Relationship Id="rId591" Type="http://schemas.openxmlformats.org/officeDocument/2006/relationships/hyperlink" Target="https://www.realliving.com/commercial-for-sale/1406-Broadway-Avenue-Bedford-OH-44146-220424400" TargetMode="External"/><Relationship Id="rId114" Type="http://schemas.openxmlformats.org/officeDocument/2006/relationships/hyperlink" Target="https://www.otodom.pl/oferta/przestronny-dom-dla-rodziny-144-m2-gostynin-ID471tS.html" TargetMode="External"/><Relationship Id="rId356" Type="http://schemas.openxmlformats.org/officeDocument/2006/relationships/hyperlink" Target="https://www.redfin.com/KY/Louisville/3406-Algonquin-Pkwy-40211/home/144863827" TargetMode="External"/><Relationship Id="rId598" Type="http://schemas.openxmlformats.org/officeDocument/2006/relationships/hyperlink" Target="https://www.coldwellbankerhomes.com/oh/green-township/5629-bridgetown-rd/pid_28443096/" TargetMode="External"/><Relationship Id="rId113" Type="http://schemas.openxmlformats.org/officeDocument/2006/relationships/hyperlink" Target="https://www.otodom.pl/oferta/dzialka-mieszkaniowo-uslugowa-1100-m2-czlekowka-ID46HrB.html" TargetMode="External"/><Relationship Id="rId355" Type="http://schemas.openxmlformats.org/officeDocument/2006/relationships/hyperlink" Target="https://www.enrichedrealestate.com/109-S-WALNUT-ST-EUREKA-KS-67045/InstitutionalSpecialPurposeBuildings/Religious/Id=195786014&amp;searchId=18338616-6c7a-486f-87dc-facd76dd0307" TargetMode="External"/><Relationship Id="rId597" Type="http://schemas.openxmlformats.org/officeDocument/2006/relationships/hyperlink" Target="https://www.kaufmanrealty.com/p/11550-Chillicothe-Road-Chesterland-OH-44026/dmgid_136544746" TargetMode="External"/><Relationship Id="rId112" Type="http://schemas.openxmlformats.org/officeDocument/2006/relationships/hyperlink" Target="https://www.otodom.pl/oferta/atrakcyjna-dzialka-budowlana-niedaleko-centrum-ID46Hom.html" TargetMode="External"/><Relationship Id="rId354" Type="http://schemas.openxmlformats.org/officeDocument/2006/relationships/hyperlink" Target="http://pinebranchrealestate.com/residential/601s5th.html" TargetMode="External"/><Relationship Id="rId596" Type="http://schemas.openxmlformats.org/officeDocument/2006/relationships/hyperlink" Target="https://www.realtor.com/realestateandhomes-detail/10509-County-Road-1_Chesapeake_OH_45619_M99898-81841" TargetMode="External"/><Relationship Id="rId111" Type="http://schemas.openxmlformats.org/officeDocument/2006/relationships/hyperlink" Target="https://www.otodom.pl/oferta/kamienica-248-m2-inwestuj-zarabiaj-drezdenko-ID3GaEk.html" TargetMode="External"/><Relationship Id="rId353" Type="http://schemas.openxmlformats.org/officeDocument/2006/relationships/hyperlink" Target="https://www.xome.com/commercial-for-sale/420-Eastern-Avenue-Shelbyville-IN-46176-317241730" TargetMode="External"/><Relationship Id="rId595" Type="http://schemas.openxmlformats.org/officeDocument/2006/relationships/hyperlink" Target="https://www.realtor.com/realestateandhomes-detail/4700-Whipple-Ave-NW_Canton_OH_44718_M42032-76079" TargetMode="External"/><Relationship Id="rId305" Type="http://schemas.openxmlformats.org/officeDocument/2006/relationships/hyperlink" Target="https://www.exitrealestategallery.com/homes/3860-Fl-16/GREEN-COVE-SPRINGS/FL/32043/102446940/" TargetMode="External"/><Relationship Id="rId547" Type="http://schemas.openxmlformats.org/officeDocument/2006/relationships/hyperlink" Target="https://www.google.com/maps/place/4+Medford+Pl,+Buffalo,+NY+14216/@42.9570532,-78.8663441,3a,75y,283.54h,90t/data=!3m6!1e1!3m4!1smwyMbG-TQ3tH4a6g9gO_Jw!2e0!7i13312!8i6656!4m5!3m4!1s0x89d36d3c2a0bec67:0xdcd6b57935ee6fee!8m2!3d42.9571025!4d-78.8665954" TargetMode="External"/><Relationship Id="rId789" Type="http://schemas.openxmlformats.org/officeDocument/2006/relationships/hyperlink" Target="https://www.loopnet.com/Listing/20058935/2005-Johnston-Dr-Manitowoc-WI/" TargetMode="External"/><Relationship Id="rId304" Type="http://schemas.openxmlformats.org/officeDocument/2006/relationships/hyperlink" Target="https://www.google.com/maps/uv?hl=en&amp;pb=!1s0x89e808361186038b:0x430dc230d6ff71b6!3m1!7e115!4s//geo0.ggpht.com/cbk?panoid%3Do4HsHzpIaT7slbutMxy7Xw%26output%3Dthumbnail%26cb_client%3Dsearch.gws-prod/local-details-getcard.gps%26thumb%3D2%26yaw%3D289.9428%26pitch%3D0%26thumbfov%3D100%26w%3D520%26h%3D175!5s211+spring+hill+road+trumbull+ct+sold+-+Google+Search&amp;imagekey=!1e2!2so4HsHzpIaT7slbutMxy7Xw" TargetMode="External"/><Relationship Id="rId546" Type="http://schemas.openxmlformats.org/officeDocument/2006/relationships/hyperlink" Target="https://jwleaks.files.wordpress.com/2019/01/watchtower-brooklyn-real-estate-transfers-2004-2018.pdf" TargetMode="External"/><Relationship Id="rId788" Type="http://schemas.openxmlformats.org/officeDocument/2006/relationships/hyperlink" Target="https://www.redfin.com/WI/Viroqua/720-Chicago-Ave-54665/home/57994974" TargetMode="External"/><Relationship Id="rId303" Type="http://schemas.openxmlformats.org/officeDocument/2006/relationships/hyperlink" Target="https://www.coldwellbankerhomes.com/ct/montville/5-herschler-road/pid_20626760/" TargetMode="External"/><Relationship Id="rId545" Type="http://schemas.openxmlformats.org/officeDocument/2006/relationships/hyperlink" Target="https://apartable.com/buildings/86-willow-st-brooklyn-ny" TargetMode="External"/><Relationship Id="rId787" Type="http://schemas.openxmlformats.org/officeDocument/2006/relationships/hyperlink" Target="https://www.trulia.com/p/wi/union-grove/14909-washington-ave-union-grove-wi-53182--2054112583" TargetMode="External"/><Relationship Id="rId302" Type="http://schemas.openxmlformats.org/officeDocument/2006/relationships/hyperlink" Target="https://www.realtytrac.com/property/ct/new-britain/06053/232-slater-rd/202112341/" TargetMode="External"/><Relationship Id="rId544" Type="http://schemas.openxmlformats.org/officeDocument/2006/relationships/hyperlink" Target="https://apartable.com/buildings/80-willow-street-brooklyn" TargetMode="External"/><Relationship Id="rId786" Type="http://schemas.openxmlformats.org/officeDocument/2006/relationships/hyperlink" Target="https://www.coldwellbankerhomes.com/wi/two-rivers/2717-45th-st/pid_33821842/" TargetMode="External"/><Relationship Id="rId309" Type="http://schemas.openxmlformats.org/officeDocument/2006/relationships/hyperlink" Target="https://www.realliving.com/commercial-for-sale/9844-SKEWLEE-ROAD-Thonotosassa-FL-33592-283947547" TargetMode="External"/><Relationship Id="rId308" Type="http://schemas.openxmlformats.org/officeDocument/2006/relationships/hyperlink" Target="https://www.xome.com/commercial-for-sale/918-Winton-Ave-Pensacola-FL-32507-308653742" TargetMode="External"/><Relationship Id="rId307" Type="http://schemas.openxmlformats.org/officeDocument/2006/relationships/hyperlink" Target="https://www.loopnet.com/Listing/4468-US-Highway-129-Live-Oak-FL/19079219/" TargetMode="External"/><Relationship Id="rId549" Type="http://schemas.openxmlformats.org/officeDocument/2006/relationships/hyperlink" Target="https://loopnet.com/listing/1040-owego-rd-candor-ny/14662304/" TargetMode="External"/><Relationship Id="rId306" Type="http://schemas.openxmlformats.org/officeDocument/2006/relationships/hyperlink" Target="https://clustrmaps.com/a/3cdk26/" TargetMode="External"/><Relationship Id="rId548" Type="http://schemas.openxmlformats.org/officeDocument/2006/relationships/hyperlink" Target="https://www.zillow.com/homedetails/500-Southside-Pkwy-Buffalo-NY-14210/2136551625_zpid/" TargetMode="External"/><Relationship Id="rId781" Type="http://schemas.openxmlformats.org/officeDocument/2006/relationships/hyperlink" Target="https://www.xome.com/commercial-for-sale/850-Clark-St-Reedsburg-WI-53959-297491195" TargetMode="External"/><Relationship Id="rId780" Type="http://schemas.openxmlformats.org/officeDocument/2006/relationships/hyperlink" Target="https://www.coldwellbankerhomes.com/wi/racine/3309-kearney-ave/pid_290893/" TargetMode="External"/><Relationship Id="rId301" Type="http://schemas.openxmlformats.org/officeDocument/2006/relationships/hyperlink" Target="https://www.coldwellbankerhomes.com/ct/milford/494-milford-point-rd/pid_29107932/" TargetMode="External"/><Relationship Id="rId543" Type="http://schemas.openxmlformats.org/officeDocument/2006/relationships/hyperlink" Target="https://jwleaks.files.wordpress.com/2019/01/watchtower-brooklyn-real-estate-transfers-2004-2018.pdf" TargetMode="External"/><Relationship Id="rId785" Type="http://schemas.openxmlformats.org/officeDocument/2006/relationships/hyperlink" Target="https://www.coldwellbankerhomes.com/wi/tomah/18571-state-highway-131/pid_1325354/" TargetMode="External"/><Relationship Id="rId300" Type="http://schemas.openxmlformats.org/officeDocument/2006/relationships/hyperlink" Target="https://www.recolorado.com/Listing/239572668-151082055/625-north-polk-avenue-walsenburg-co-81089/" TargetMode="External"/><Relationship Id="rId542" Type="http://schemas.openxmlformats.org/officeDocument/2006/relationships/hyperlink" Target="https://jwleaks.files.wordpress.com/2019/01/watchtower-brooklyn-real-estate-transfers-2004-2018.pdf" TargetMode="External"/><Relationship Id="rId784" Type="http://schemas.openxmlformats.org/officeDocument/2006/relationships/hyperlink" Target="https://www.coldwellbankerhomes.com/chicago-milwaukee/603-faxon-st/pid_33507235/" TargetMode="External"/><Relationship Id="rId541" Type="http://schemas.openxmlformats.org/officeDocument/2006/relationships/hyperlink" Target="https://jwleaks.files.wordpress.com/2019/01/watchtower-brooklyn-real-estate-transfers-2004-2018.pdf" TargetMode="External"/><Relationship Id="rId783" Type="http://schemas.openxmlformats.org/officeDocument/2006/relationships/hyperlink" Target="https://www.xome.com/commercial-for-sale/51-Tower-Dr-Sun-Prairie-WI-53590-297490493" TargetMode="External"/><Relationship Id="rId540" Type="http://schemas.openxmlformats.org/officeDocument/2006/relationships/hyperlink" Target="https://jwleaks.files.wordpress.com/2019/01/watchtower-brooklyn-real-estate-transfers-2004-2018.pdf" TargetMode="External"/><Relationship Id="rId782" Type="http://schemas.openxmlformats.org/officeDocument/2006/relationships/hyperlink" Target="https://www.coldwellbankerhomes.com/chicago-milwaukee/n4777-elm-st/pid_18132518/" TargetMode="External"/><Relationship Id="rId536" Type="http://schemas.openxmlformats.org/officeDocument/2006/relationships/hyperlink" Target="https://jwleaks.files.wordpress.com/2019/01/watchtower-brooklyn-real-estate-transfers-2004-2018.pdf" TargetMode="External"/><Relationship Id="rId778" Type="http://schemas.openxmlformats.org/officeDocument/2006/relationships/hyperlink" Target="https://www.realtytrac.com/property/wi/milwaukee/53212/3879-n-port-washington-rd/35134759/" TargetMode="External"/><Relationship Id="rId535" Type="http://schemas.openxmlformats.org/officeDocument/2006/relationships/hyperlink" Target="https://jwleaks.files.wordpress.com/2019/01/watchtower-brooklyn-real-estate-transfers-2004-2018.pdf" TargetMode="External"/><Relationship Id="rId777" Type="http://schemas.openxmlformats.org/officeDocument/2006/relationships/hyperlink" Target="https://www.atproperties.com/commercial/1195960/n48w14384-hampton-ave-menomonee-falls-wisconsin-53051-swi" TargetMode="External"/><Relationship Id="rId534" Type="http://schemas.openxmlformats.org/officeDocument/2006/relationships/hyperlink" Target="https://jwleaks.files.wordpress.com/2019/01/watchtower-brooklyn-real-estate-transfers-2004-2018.pdf" TargetMode="External"/><Relationship Id="rId776" Type="http://schemas.openxmlformats.org/officeDocument/2006/relationships/hyperlink" Target="https://www.google.com/maps/place/N3540+WI-58,+Mauston,+WI+53948/@43.7686881,-90.0774434,3a,75y,109.2h,88.8t/data=!3m6!1e1!3m4!1sX_Lib2BTSLLVZGXdIjlX8w!2e0!7i3328!8i1664!4m5!3m4!1s0x87fdfddf1758397b:0x3ff61df03054bdca!8m2!3d43.7683508!4d-90.0764225" TargetMode="External"/><Relationship Id="rId533" Type="http://schemas.openxmlformats.org/officeDocument/2006/relationships/hyperlink" Target="https://jwleaks.files.wordpress.com/2019/01/watchtower-brooklyn-real-estate-transfers-2004-2018.pdf" TargetMode="External"/><Relationship Id="rId775" Type="http://schemas.openxmlformats.org/officeDocument/2006/relationships/hyperlink" Target="https://www.yellowpages.com/marshfield-wi/mip/park-view-pet-motel-548202135" TargetMode="External"/><Relationship Id="rId539" Type="http://schemas.openxmlformats.org/officeDocument/2006/relationships/hyperlink" Target="https://jwleaks.files.wordpress.com/2019/01/watchtower-brooklyn-real-estate-transfers-2004-2018.pdf" TargetMode="External"/><Relationship Id="rId538" Type="http://schemas.openxmlformats.org/officeDocument/2006/relationships/hyperlink" Target="https://jwleaks.files.wordpress.com/2019/01/watchtower-brooklyn-real-estate-transfers-2004-2018.pdf" TargetMode="External"/><Relationship Id="rId537" Type="http://schemas.openxmlformats.org/officeDocument/2006/relationships/hyperlink" Target="https://jwleaks.files.wordpress.com/2019/01/watchtower-brooklyn-real-estate-transfers-2004-2018.pdf" TargetMode="External"/><Relationship Id="rId779" Type="http://schemas.openxmlformats.org/officeDocument/2006/relationships/hyperlink" Target="https://www.realtor.com/realestateandhomes-detail/23648-County-Highway-Q_New-Auburn_WI_54757_M76338-60302" TargetMode="External"/><Relationship Id="rId770" Type="http://schemas.openxmlformats.org/officeDocument/2006/relationships/hyperlink" Target="https://www.coldwellbankerhomes.com/wi/glenwood-city/810-1st-st/pid_31167552/" TargetMode="External"/><Relationship Id="rId532" Type="http://schemas.openxmlformats.org/officeDocument/2006/relationships/hyperlink" Target="https://jwleaks.files.wordpress.com/2019/01/watchtower-brooklyn-real-estate-transfers-2004-2018.pdf" TargetMode="External"/><Relationship Id="rId774" Type="http://schemas.openxmlformats.org/officeDocument/2006/relationships/hyperlink" Target="https://www.loopnet.com/Listing/3214-Mannville-Ln-Marshfield-WI/16875229/" TargetMode="External"/><Relationship Id="rId531" Type="http://schemas.openxmlformats.org/officeDocument/2006/relationships/hyperlink" Target="https://jwleaks.files.wordpress.com/2019/01/watchtower-brooklyn-real-estate-transfers-2004-2018.pdf" TargetMode="External"/><Relationship Id="rId773" Type="http://schemas.openxmlformats.org/officeDocument/2006/relationships/hyperlink" Target="https://www.realtor.com/realestateandhomes-detail/3059-Medco-Ct_La-Crosse_WI_54601_M70624-20764" TargetMode="External"/><Relationship Id="rId530" Type="http://schemas.openxmlformats.org/officeDocument/2006/relationships/hyperlink" Target="https://jwleaks.files.wordpress.com/2019/01/watchtower-brooklyn-real-estate-transfers-2004-2018.pdf" TargetMode="External"/><Relationship Id="rId772" Type="http://schemas.openxmlformats.org/officeDocument/2006/relationships/hyperlink" Target="https://cornerstone.weichert.com/78227996/" TargetMode="External"/><Relationship Id="rId771" Type="http://schemas.openxmlformats.org/officeDocument/2006/relationships/hyperlink" Target="https://www.realtor.com/realestateandhomes-detail/5075-S-43rd-St_Greenfield_WI_53220_M80371-54472" TargetMode="External"/><Relationship Id="rId327" Type="http://schemas.openxmlformats.org/officeDocument/2006/relationships/hyperlink" Target="https://www.realtytrac.com/property/ia/sioux-city/51103/2929-w-4th-st/186957408/" TargetMode="External"/><Relationship Id="rId569" Type="http://schemas.openxmlformats.org/officeDocument/2006/relationships/hyperlink" Target="http://www.signaturepremier.com/agent/property?ListingName=2130127" TargetMode="External"/><Relationship Id="rId326" Type="http://schemas.openxmlformats.org/officeDocument/2006/relationships/hyperlink" Target="https://www.mystatemls.com/property/210_Argus_Road-Shenandoah-IA-51601/10557807/" TargetMode="External"/><Relationship Id="rId568" Type="http://schemas.openxmlformats.org/officeDocument/2006/relationships/hyperlink" Target="https://www.realtytrac.com/property/ny/manhasset/11030/24-locust-st/38078947/" TargetMode="External"/><Relationship Id="rId325" Type="http://schemas.openxmlformats.org/officeDocument/2006/relationships/hyperlink" Target="https://www.zillow.com/homedetails/2420-Iowa-St-Perry-IA-50220/296649958_zpid/" TargetMode="External"/><Relationship Id="rId567" Type="http://schemas.openxmlformats.org/officeDocument/2006/relationships/hyperlink" Target="https://www.realtor.com/realestateandhomes-detail/9047-Nys-Route-16_Machias_NY_14101_M35743-52647" TargetMode="External"/><Relationship Id="rId324" Type="http://schemas.openxmlformats.org/officeDocument/2006/relationships/hyperlink" Target="https://www.google.com/maps/place/909+N+6th+Ave+E,+Newton,+IA+50208/@41.7041722,-93.0419195,3a,75y,175.13h,90t/data=!3m6!1e1!3m4!1sry5DrIXji99wcEw9fTGfXQ!2e0!7i13312!8i6656!4m5!3m4!1s0x87ef1cc16f402f2f:0xd1e6dbe4848b0d72!8m2!3d41.7039543!4d-93.0418937" TargetMode="External"/><Relationship Id="rId566" Type="http://schemas.openxmlformats.org/officeDocument/2006/relationships/hyperlink" Target="https://www.realtytrac.com/property/ny/long-island-city/11101/3746-crescent-st/170521120/" TargetMode="External"/><Relationship Id="rId329" Type="http://schemas.openxmlformats.org/officeDocument/2006/relationships/hyperlink" Target="https://www.trulia.com/p/il/anna/208-center-st-anna-il-62906--2059543794" TargetMode="External"/><Relationship Id="rId328" Type="http://schemas.openxmlformats.org/officeDocument/2006/relationships/hyperlink" Target="https://www.realtor.com/realestateandhomes-detail/315-N-5th-St_Osburn_ID_83849_M99088-33217" TargetMode="External"/><Relationship Id="rId561" Type="http://schemas.openxmlformats.org/officeDocument/2006/relationships/hyperlink" Target="https://www.realtytrac.com/property/ny/johnson-city/13790/1364-reynolds-rd/151769200/" TargetMode="External"/><Relationship Id="rId560" Type="http://schemas.openxmlformats.org/officeDocument/2006/relationships/hyperlink" Target="https://www.realtytrac.com/property/ny/inwood/11096/306-morris-ave/169424546/" TargetMode="External"/><Relationship Id="rId323" Type="http://schemas.openxmlformats.org/officeDocument/2006/relationships/hyperlink" Target="https://www.exitrealtyhawkeye.com/real-estate/Iowa-Regional/Commercial-Sale/property/5495300-1301-Hawkeye-Avenue-Harlan-IA-51537/" TargetMode="External"/><Relationship Id="rId565" Type="http://schemas.openxmlformats.org/officeDocument/2006/relationships/hyperlink" Target="https://www.realtytrac.com/property/ny/lindenhurst/11757/450-e-john-st/169978708/" TargetMode="External"/><Relationship Id="rId322" Type="http://schemas.openxmlformats.org/officeDocument/2006/relationships/hyperlink" Target="https://www.xome.com/realestate/207-park-ave-guthrie-center-ia-50115-149765261" TargetMode="External"/><Relationship Id="rId564" Type="http://schemas.openxmlformats.org/officeDocument/2006/relationships/hyperlink" Target="https://www.zillow.com/homedetails/10-S-Fisher-Rd-West-Seneca-NY-14218/2138517137_zpid/" TargetMode="External"/><Relationship Id="rId321" Type="http://schemas.openxmlformats.org/officeDocument/2006/relationships/hyperlink" Target="https://www.xome.com/realestate/395-e-6th-st-garner-ia-50438-41612761" TargetMode="External"/><Relationship Id="rId563" Type="http://schemas.openxmlformats.org/officeDocument/2006/relationships/hyperlink" Target="https://www.realtor.com/realestateandhomes-detail/5808-Mondore-Dr_La-Fayette_NY_13084_M41247-24117" TargetMode="External"/><Relationship Id="rId320" Type="http://schemas.openxmlformats.org/officeDocument/2006/relationships/hyperlink" Target="https://www.realtytrac.com/property/ia/dyersville/52040/927-7th-ave-se/199644383/" TargetMode="External"/><Relationship Id="rId562" Type="http://schemas.openxmlformats.org/officeDocument/2006/relationships/hyperlink" Target="https://www.xome.com/realestate/2802-state-highway-29-johnstown-ny-12095-75373801" TargetMode="External"/><Relationship Id="rId316" Type="http://schemas.openxmlformats.org/officeDocument/2006/relationships/hyperlink" Target="https://www.xome.com/realestate/1700-naoma-dr-sw-cedar-rapids-ia-52404-25449428" TargetMode="External"/><Relationship Id="rId558" Type="http://schemas.openxmlformats.org/officeDocument/2006/relationships/hyperlink" Target="https://www.coldwellbankerhomes.com/ny/haverstraw/49-broadway/pid_20625779/" TargetMode="External"/><Relationship Id="rId315" Type="http://schemas.openxmlformats.org/officeDocument/2006/relationships/hyperlink" Target="https://www.realtytrac.com/property/hi/honolulu/96821/5156-kalanianaole-hwy/199935755/" TargetMode="External"/><Relationship Id="rId557" Type="http://schemas.openxmlformats.org/officeDocument/2006/relationships/hyperlink" Target="https://www.howardhanna.com/Property/Detail/190-Sunset-Drive-Hamburg-NY-14075/BuffaloNYSold/B1085639" TargetMode="External"/><Relationship Id="rId799" Type="http://schemas.openxmlformats.org/officeDocument/2006/relationships/hyperlink" Target="https://www.freerehabcenters.org/details/healthways-inc-miracles-happen" TargetMode="External"/><Relationship Id="rId314" Type="http://schemas.openxmlformats.org/officeDocument/2006/relationships/hyperlink" Target="https://www.georgiacommercialrealestate.net/featured-listings/111-walnut-street-montezuma-georgia-31063" TargetMode="External"/><Relationship Id="rId556" Type="http://schemas.openxmlformats.org/officeDocument/2006/relationships/hyperlink" Target="https://www.movoto.com/gouverneur-ny/532-hull-rd-gouverneur-ny-13642/pid_1tdkdjdrjh/" TargetMode="External"/><Relationship Id="rId798" Type="http://schemas.openxmlformats.org/officeDocument/2006/relationships/hyperlink" Target="https://www.zillow.com/homedetails/3176-Weir-Ave-Weirton-WV-26062/219401815_zpid/" TargetMode="External"/><Relationship Id="rId313" Type="http://schemas.openxmlformats.org/officeDocument/2006/relationships/hyperlink" Target="https://www.enrichedrealestate.com/9901-SIMPSON-RD-JONESBORO-GA-30238/InstitutionalSpecialPurposeBuildings/Religious/Id=187110395&amp;searchId=205c057c-676c-4449-8948-5117e979e5ab" TargetMode="External"/><Relationship Id="rId555" Type="http://schemas.openxmlformats.org/officeDocument/2006/relationships/hyperlink" Target="https://www.neighborwho.com/NY/Ghent/1351-State-Route-66/" TargetMode="External"/><Relationship Id="rId797" Type="http://schemas.openxmlformats.org/officeDocument/2006/relationships/hyperlink" Target="http://www.remaxcommercial.com/?p=findahome.asp&amp;listing=true&amp;mlsid=3465&amp;mlsnumber=2020" TargetMode="External"/><Relationship Id="rId319" Type="http://schemas.openxmlformats.org/officeDocument/2006/relationships/hyperlink" Target="https://www.realtytrac.com/property/ia/davenport/52806/3956-n-pine-st/212725461/" TargetMode="External"/><Relationship Id="rId318" Type="http://schemas.openxmlformats.org/officeDocument/2006/relationships/hyperlink" Target="https://www.trulia.com/p/ia/clinton/3704-n-3rd-st-clinton-ia-52732--2100809462" TargetMode="External"/><Relationship Id="rId317" Type="http://schemas.openxmlformats.org/officeDocument/2006/relationships/hyperlink" Target="https://www.realtor.com/realestateandhomes-detail/605-S-Iowa-St_Charles-City_IA_50616_M87950-87308" TargetMode="External"/><Relationship Id="rId559" Type="http://schemas.openxmlformats.org/officeDocument/2006/relationships/hyperlink" Target="https://www.redfin.com/NY/Holbrook/140-Smith-Ave-11741/home/21459323" TargetMode="External"/><Relationship Id="rId550" Type="http://schemas.openxmlformats.org/officeDocument/2006/relationships/hyperlink" Target="https://www.howardhanna.com/Property/Detail/85-Beaver-Road-Chili-NY-14428/RochesterNYSold/R1132814" TargetMode="External"/><Relationship Id="rId792" Type="http://schemas.openxmlformats.org/officeDocument/2006/relationships/hyperlink" Target="https://www.realtor.com/realestateandhomes-detail/1906-Rear-Route-60_Huntington_WV_25701_M44690-70474" TargetMode="External"/><Relationship Id="rId791" Type="http://schemas.openxmlformats.org/officeDocument/2006/relationships/hyperlink" Target="https://www.xome.com/commercial-for-sale/439-Tallmansville-Road-Buckhannon-WV-26201-256176953" TargetMode="External"/><Relationship Id="rId790" Type="http://schemas.openxmlformats.org/officeDocument/2006/relationships/hyperlink" Target="https://www.loopnet.com/Listing/18104025/1719-N-3rd-Avenue-Wausau-WI/" TargetMode="External"/><Relationship Id="rId312" Type="http://schemas.openxmlformats.org/officeDocument/2006/relationships/hyperlink" Target="https://www.zillow.com/homedetails/971-Cove-Rd-Jasper-GA-30143/2133970304_zpid/" TargetMode="External"/><Relationship Id="rId554" Type="http://schemas.openxmlformats.org/officeDocument/2006/relationships/hyperlink" Target="https://www.onthemarket.com/details/4601620/" TargetMode="External"/><Relationship Id="rId796" Type="http://schemas.openxmlformats.org/officeDocument/2006/relationships/hyperlink" Target="https://www.zillow.com/homedetails/65-Old-Main-Plz-Saint-Albans-WV-25177/125182930_zpid/" TargetMode="External"/><Relationship Id="rId311" Type="http://schemas.openxmlformats.org/officeDocument/2006/relationships/hyperlink" Target="https://www.zillow.com/homedetails/276-Eatonton-Hwy-Gray-GA-31032/247190360_zpid/" TargetMode="External"/><Relationship Id="rId553" Type="http://schemas.openxmlformats.org/officeDocument/2006/relationships/hyperlink" Target="https://www.xome.com/commercial-for-sale/2240-Western-Turnpike-Duanesburg-TOV-NY-12056-194754158" TargetMode="External"/><Relationship Id="rId795" Type="http://schemas.openxmlformats.org/officeDocument/2006/relationships/hyperlink" Target="https://www.trulia.com/p/wv/ripley/118-grand-central-ave-ripley-wv-25271--2023240118" TargetMode="External"/><Relationship Id="rId310" Type="http://schemas.openxmlformats.org/officeDocument/2006/relationships/hyperlink" Target="http://www.lpcsoutheast.com/properties/4444-n-shallowford-rd/" TargetMode="External"/><Relationship Id="rId552" Type="http://schemas.openxmlformats.org/officeDocument/2006/relationships/hyperlink" Target="https://www.xome.com/commercial-for-sale/78-Wheeler-Ave-Cortland-NY-13045-306682976" TargetMode="External"/><Relationship Id="rId794" Type="http://schemas.openxmlformats.org/officeDocument/2006/relationships/hyperlink" Target="https://www.google.com/maps/place/135+Willywood+Ave,+Oak+Hill,+WV+25901/@37.9821028,-81.1360365,3a,75y,4.31h,83.97t/data=!3m6!1e1!3m4!1srDpYqKqnnRmpboEyBKrI6Q!2e0!7i13312!8i6656!4m5!3m4!1s0x884ebfd8aadaba19:0xdb2ee9b3c30372ab!8m2!3d37.9823026!4d-81.1361974" TargetMode="External"/><Relationship Id="rId551" Type="http://schemas.openxmlformats.org/officeDocument/2006/relationships/hyperlink" Target="https://www.redfin.com/NY/Clarence-Center/5595-Shimerville-Rd-14032/home/77286896" TargetMode="External"/><Relationship Id="rId793" Type="http://schemas.openxmlformats.org/officeDocument/2006/relationships/hyperlink" Target="https://www.realtor.com/realestateandhomes-detail/102-Flythe-St_Kingwood_WV_26537_M44222-90683" TargetMode="External"/><Relationship Id="rId297" Type="http://schemas.openxmlformats.org/officeDocument/2006/relationships/hyperlink" Target="https://www.realtor.com/realestateandhomes-detail/555-S-Depew-St_Lakewood_CO_80226_M29219-25782" TargetMode="External"/><Relationship Id="rId296" Type="http://schemas.openxmlformats.org/officeDocument/2006/relationships/hyperlink" Target="https://www.zillow.com/homedetails/2606-S-Josephine-St-Denver-CO-80210/2092159230_zpid/" TargetMode="External"/><Relationship Id="rId295" Type="http://schemas.openxmlformats.org/officeDocument/2006/relationships/hyperlink" Target="https://www.redfin.com/CA/San-Diego/4312-Rialto-St-92107/home/18327823" TargetMode="External"/><Relationship Id="rId294" Type="http://schemas.openxmlformats.org/officeDocument/2006/relationships/hyperlink" Target="https://www.coldwellbankerhomes.com/ca/pacific-grove/1100-sunset-dr/pid_27083176/" TargetMode="External"/><Relationship Id="rId299" Type="http://schemas.openxmlformats.org/officeDocument/2006/relationships/hyperlink" Target="https://www.loopnet.com/Listing/4355-Los-Ranchitos-Dr-Peyton-CO/18798190/" TargetMode="External"/><Relationship Id="rId298" Type="http://schemas.openxmlformats.org/officeDocument/2006/relationships/hyperlink" Target="https://www.realtor.com/realestateandhomes-detail/1805-S-Sheridan-Blvd_Lakewood_CO_80232_M10994-10897" TargetMode="External"/><Relationship Id="rId271" Type="http://schemas.openxmlformats.org/officeDocument/2006/relationships/hyperlink" Target="https://www.google.com/maps/place/9625+N+Hwy+71,+Mountainburg,+AR+72946/@35.5759023,-94.1973073,3a,75y,357.79h,97.82t/data=!3m6!1e1!3m4!1s-165MH1lPn5os89EHEav-w!2e0!7i13312!8i6656!4m5!3m4!1s0x87cbc67ece9c44b5:0x462391dc9e5b77f6!8m2!3d35.5768021!4d-94.197129" TargetMode="External"/><Relationship Id="rId270" Type="http://schemas.openxmlformats.org/officeDocument/2006/relationships/hyperlink" Target="https://www.redfin.com/AR/Lonoke/718-Church-St-72086/home/81459782" TargetMode="External"/><Relationship Id="rId269" Type="http://schemas.openxmlformats.org/officeDocument/2006/relationships/hyperlink" Target="https://www.xome.com/realestate/1000-nix-rd-little-rock-ar-72211-8820405" TargetMode="External"/><Relationship Id="rId264" Type="http://schemas.openxmlformats.org/officeDocument/2006/relationships/hyperlink" Target="https://www.realtor.com/realestateandhomes-detail/402-W-Pierce-St_Crossett_AR_71635_M79318-71734" TargetMode="External"/><Relationship Id="rId263" Type="http://schemas.openxmlformats.org/officeDocument/2006/relationships/hyperlink" Target="https://www.google.com/maps/place/1367+AR-95,+Clinton,+AR+72031/@35.5939512,-92.4822367,3a,37.5y,189.67h,80.83t/data=!3m6!1e1!3m4!1s9cVPI1qh9SGey4zG1YrJ7Q!2e0!7i13312!8i6656!4m5!3m4!1s0x87cdf5a2c649cc39:0xf9a3a7e3b4ca8691!8m2!3d35.5942638!4d-92.4816184" TargetMode="External"/><Relationship Id="rId262" Type="http://schemas.openxmlformats.org/officeDocument/2006/relationships/hyperlink" Target="https://www.realtor.com/realestateandhomes-detail/630-Owen-St_Ashdown_AR_71822_M86780-63597" TargetMode="External"/><Relationship Id="rId261" Type="http://schemas.openxmlformats.org/officeDocument/2006/relationships/hyperlink" Target="https://www.realtytrac.com/property/al/vestavia-hills/35216/1929-canyon-rd/197999537/" TargetMode="External"/><Relationship Id="rId268" Type="http://schemas.openxmlformats.org/officeDocument/2006/relationships/hyperlink" Target="https://www.xome.com/realestate/208-5th-ave-sw-gravette-ar-72736-7270994" TargetMode="External"/><Relationship Id="rId267" Type="http://schemas.openxmlformats.org/officeDocument/2006/relationships/hyperlink" Target="https://www.movoto.com/fort-smith-ar/3509-johnson-st-fort-smith-ar-72904/pid_ulhonmbs8g/" TargetMode="External"/><Relationship Id="rId266" Type="http://schemas.openxmlformats.org/officeDocument/2006/relationships/hyperlink" Target="https://www.realtor.com/realestateandhomes-detail/706-Xavier-St_Fort-Smith_AR_72901_M86768-53540?fbclid=IwAR3CCtb1d7YiRtaqsDwDLg-hB0HGQLWJ8kg407OO48VdGNodgP3htUNROg4" TargetMode="External"/><Relationship Id="rId265" Type="http://schemas.openxmlformats.org/officeDocument/2006/relationships/hyperlink" Target="https://www.zillow.com/homedetails/3330-Main-El-Dorado-AR-71730/2086929181_zpid/" TargetMode="External"/><Relationship Id="rId260" Type="http://schemas.openxmlformats.org/officeDocument/2006/relationships/hyperlink" Target="http://soldbyplatinum.com/homes-for-sale-details/4602-US-HIGHWAY-80-PHENIX-CITY-AL-36869/145251/532/" TargetMode="External"/><Relationship Id="rId259" Type="http://schemas.openxmlformats.org/officeDocument/2006/relationships/hyperlink" Target="https://www.manta.com/c/mbn2ln8/7th-day-christian-fellowship" TargetMode="External"/><Relationship Id="rId258" Type="http://schemas.openxmlformats.org/officeDocument/2006/relationships/hyperlink" Target="https://www.greateralabamamls.com/commercial-for-sale/110-KINGDOM-HALL-LN-Dora-AL-35062-271309935" TargetMode="External"/><Relationship Id="rId253" Type="http://schemas.openxmlformats.org/officeDocument/2006/relationships/hyperlink" Target="https://nethouseprices.com/house-prices/street-details-sale/5f54b81e3d6f2b45e0536b04a8c01fb0/kingdom%20hall%20lickhill%20road,%20stourport-on-severn,%20dy13%208sa/2017" TargetMode="External"/><Relationship Id="rId495" Type="http://schemas.openxmlformats.org/officeDocument/2006/relationships/hyperlink" Target="https://www.google.com/maps/uv?hl=en&amp;pb=!1s0x873b8fc790984575%3A0x920bd7081dfe79c8!3m1!7e115!4shttps%3A%2F%2Flh5.googleusercontent.com%2Fp%2FAF1QipOgtEhaG4fxfb9EiSxRJM15NHvQzulWjEiXYvRu%3Dw173-h175-n-k-no!5s800%20w.%2030th%20st%20farmington%20nm%20for%20sale%20-%20Google%20Search!15sCAQ&amp;imagekey=!1e10!2sAF1QipOgtEhaG4fxfb9EiSxRJM15NHvQzulWjEiXYvRu" TargetMode="External"/><Relationship Id="rId252" Type="http://schemas.openxmlformats.org/officeDocument/2006/relationships/hyperlink" Target="https://www.bernardgordon.co.uk/property/detached-d1-meeting-hall-with-parking-freehold-for-sale-stevenage-sg2/" TargetMode="External"/><Relationship Id="rId494" Type="http://schemas.openxmlformats.org/officeDocument/2006/relationships/hyperlink" Target="https://www.weichert.com/62823521/" TargetMode="External"/><Relationship Id="rId251" Type="http://schemas.openxmlformats.org/officeDocument/2006/relationships/hyperlink" Target="https://www.zoopla.co.uk/property/29-church-street/runcorn/wa7-1lx/29187290" TargetMode="External"/><Relationship Id="rId493" Type="http://schemas.openxmlformats.org/officeDocument/2006/relationships/hyperlink" Target="https://www.realtytrac.com/property/nm/albuquerque/87105/1700-57th-st-nw/192939590/" TargetMode="External"/><Relationship Id="rId250" Type="http://schemas.openxmlformats.org/officeDocument/2006/relationships/hyperlink" Target="https://www.housepricesintheuk.co.uk/h/KINGDOM+HALL-STONYFLAT+BANK-PRUDHOE-NE42+5EP" TargetMode="External"/><Relationship Id="rId492" Type="http://schemas.openxmlformats.org/officeDocument/2006/relationships/hyperlink" Target="https://www.loopnet.com/Listing/16107071/8812-2nd-Street-SW-Albuquerque-NM/" TargetMode="External"/><Relationship Id="rId257" Type="http://schemas.openxmlformats.org/officeDocument/2006/relationships/hyperlink" Target="https://www.google.com/maps/place/700+Fulton+Ave,+Birmingham,+AL+35217/@33.572065,-86.7822517,3a,75y,6.22h,79.54t/data=!3m7!1e1!3m5!1sj0DLopz_3Y3bUi9fLSBfJw!2e0!5s20110801T000000!7i13312!8i6656!4m5!3m4!1s0x88891b2a7722ec29:0x3a78f066fdc6b7f5!8m2!3d33.5722783!4d-86.7820486" TargetMode="External"/><Relationship Id="rId499" Type="http://schemas.openxmlformats.org/officeDocument/2006/relationships/hyperlink" Target="https://www.trulia.com/p/nm/santa-fe/418-w-san-mateo-rd-santa-fe-nm-87505--2115163111" TargetMode="External"/><Relationship Id="rId256" Type="http://schemas.openxmlformats.org/officeDocument/2006/relationships/hyperlink" Target="https://www.realtor.com/realestateandhomes-detail/1311-Kiana-Ln_Kenai_AK_99611_M97424-25164" TargetMode="External"/><Relationship Id="rId498" Type="http://schemas.openxmlformats.org/officeDocument/2006/relationships/hyperlink" Target="https://www.realtor.com/realestateandhomes-detail/106-Alpine-Village-Rd_Ruidoso_NM_88345_M28634-44694" TargetMode="External"/><Relationship Id="rId255" Type="http://schemas.openxmlformats.org/officeDocument/2006/relationships/hyperlink" Target="https://www.rightmove.co.uk/commercial-property-for-sale/property-83757497.html" TargetMode="External"/><Relationship Id="rId497" Type="http://schemas.openxmlformats.org/officeDocument/2006/relationships/hyperlink" Target="https://www.zillow.com/homedetails/1800-W-Bland-St-Roswell-NM-88203/2099041134_zpid/" TargetMode="External"/><Relationship Id="rId254" Type="http://schemas.openxmlformats.org/officeDocument/2006/relationships/hyperlink" Target="https://www.onthemarket.com/details/4601620/" TargetMode="External"/><Relationship Id="rId496" Type="http://schemas.openxmlformats.org/officeDocument/2006/relationships/hyperlink" Target="https://www.zillow.com/homedetails/312-Unser-Blvd-NE-Rio-Rancho-NM-87124/113481165_zpid/" TargetMode="External"/><Relationship Id="rId293" Type="http://schemas.openxmlformats.org/officeDocument/2006/relationships/hyperlink" Target="https://www.realtor.com/realestateandhomes-detail/3161-Oro-Bangor-Hwy_Oroville_CA_95966_M28584-28834" TargetMode="External"/><Relationship Id="rId292" Type="http://schemas.openxmlformats.org/officeDocument/2006/relationships/hyperlink" Target="https://www.mlslistings.com/property/ml81685442/811-bay-rd-menlo-park-ca-94025/8713375" TargetMode="External"/><Relationship Id="rId291" Type="http://schemas.openxmlformats.org/officeDocument/2006/relationships/hyperlink" Target="https://www.mlslistings.com/property/ml81703019/16769-farley-rd-los-gatos-ca-95032/8884933" TargetMode="External"/><Relationship Id="rId290" Type="http://schemas.openxmlformats.org/officeDocument/2006/relationships/hyperlink" Target="https://www.realtytrac.com/property/ca/holtville/92250/825-e-5th-st/157390788/" TargetMode="External"/><Relationship Id="rId286" Type="http://schemas.openxmlformats.org/officeDocument/2006/relationships/hyperlink" Target="https://www.redfin.com/CA/Bakersfield/5702-Pioneer-Dr-93306/home/60504956" TargetMode="External"/><Relationship Id="rId285" Type="http://schemas.openxmlformats.org/officeDocument/2006/relationships/hyperlink" Target="https://www.realtytrac.com/property/ca/bakersfield/93305/1631-lake-st/40160059/" TargetMode="External"/><Relationship Id="rId284" Type="http://schemas.openxmlformats.org/officeDocument/2006/relationships/hyperlink" Target="https://tucson.com/lifestyles/faith-and-values/a-buddhist-first/article_89701a54-41e1-5711-a2c9-39718f64d5af.html" TargetMode="External"/><Relationship Id="rId283" Type="http://schemas.openxmlformats.org/officeDocument/2006/relationships/hyperlink" Target="https://www.coldwellbankerhomes.com/az/sedona/100-northview-rd/pid_31654369/" TargetMode="External"/><Relationship Id="rId289" Type="http://schemas.openxmlformats.org/officeDocument/2006/relationships/hyperlink" Target="https://www.waterboards.ca.gov/drinking_water/programs/documents/ddwem/dwp%20enforcement%20actions/Placer/2019/01_61_19C_006_3106491_MB.pdf" TargetMode="External"/><Relationship Id="rId288" Type="http://schemas.openxmlformats.org/officeDocument/2006/relationships/hyperlink" Target="https://www.loopnet.com/Listing/275-N-Helm-Ave-Fresno-CA/13503145/" TargetMode="External"/><Relationship Id="rId287" Type="http://schemas.openxmlformats.org/officeDocument/2006/relationships/hyperlink" Target="https://www.google.com/maps/@35.3897574,-118.9828889,3a,75y,129.08h,86.76t/data=!3m6!1e1!3m4!1si6CvKQlL3Co5SUBYsBWsJA!2e0!7i13312!8i6656" TargetMode="External"/><Relationship Id="rId282" Type="http://schemas.openxmlformats.org/officeDocument/2006/relationships/hyperlink" Target="https://www.zillow.com/homedetails/6933-E-Horizon-Ln-Prescott-Valley-AZ-86314/2090168061_zpid/" TargetMode="External"/><Relationship Id="rId281" Type="http://schemas.openxmlformats.org/officeDocument/2006/relationships/hyperlink" Target="https://www.realtytrac.com/property/az/phoenix/85040/4215-s-12th-st/159206717/" TargetMode="External"/><Relationship Id="rId280" Type="http://schemas.openxmlformats.org/officeDocument/2006/relationships/hyperlink" Target="https://www.xome.com/realestate/14600-n-black-canyon-hwy-phoenix-az-85053-4926823" TargetMode="External"/><Relationship Id="rId275" Type="http://schemas.openxmlformats.org/officeDocument/2006/relationships/hyperlink" Target="https://www.realtor.com/realestateandhomes-detail/19211-E-Abbott-St_Black-Canyon-City_AZ_85324_M16168-53094" TargetMode="External"/><Relationship Id="rId274" Type="http://schemas.openxmlformats.org/officeDocument/2006/relationships/hyperlink" Target="https://www.realtytrac.com/property/az/apache-junction/85120/10701-e-boulder-dr/144447551/" TargetMode="External"/><Relationship Id="rId273" Type="http://schemas.openxmlformats.org/officeDocument/2006/relationships/hyperlink" Target="https://www.realtytrac.com/property/ar/white-hall/71602/5601-cheatham-ave/236404095/" TargetMode="External"/><Relationship Id="rId272" Type="http://schemas.openxmlformats.org/officeDocument/2006/relationships/hyperlink" Target="https://www.xome.com/realestate/2723-eastline-rd-searcy-ar-72143-9362202" TargetMode="External"/><Relationship Id="rId279" Type="http://schemas.openxmlformats.org/officeDocument/2006/relationships/hyperlink" Target="https://www.coldwellbankerhomes.com/az/holbrook/300-hermosa-dr/pid_30332432/" TargetMode="External"/><Relationship Id="rId278" Type="http://schemas.openxmlformats.org/officeDocument/2006/relationships/hyperlink" Target="https://www.xome.com/realestate/5521-s-mckinney-ave-globe-az-85501-4123180" TargetMode="External"/><Relationship Id="rId277" Type="http://schemas.openxmlformats.org/officeDocument/2006/relationships/hyperlink" Target="https://www.coldwellbankerhomes.com/az/coolidge/300-w-palo-verde-ave/pid_26862679/?fbclid=IwAR3Z4UoB4lyw4jqO4sTRyTTI2tO0XhrFXBYuKJKeyE9w6fZ7ILL1wKmWdBo" TargetMode="External"/><Relationship Id="rId276" Type="http://schemas.openxmlformats.org/officeDocument/2006/relationships/hyperlink" Target="https://www.google.com/maps/place/401+E+Clanton+Ave,+Buckeye,+AZ+85326/@33.3680795,-112.5861329,3a,75y,177.3h,90t/data=!3m6!1e1!3m4!1sF2LiN7EPlrGTBAFz4MhTyA!2e0!7i13312!8i6656!4m5!3m4!1s0x872b3492cf15f2e5:0x193f5bface8110de!8m2!3d33.3678765!4d-112.5860863" TargetMode="External"/><Relationship Id="rId629" Type="http://schemas.openxmlformats.org/officeDocument/2006/relationships/hyperlink" Target="https://www.realtor.com/realestateandhomes-detail/9025-Bellefontaine-Rd_New-Carlisle_OH_45344_M95506-88813" TargetMode="External"/><Relationship Id="rId624" Type="http://schemas.openxmlformats.org/officeDocument/2006/relationships/hyperlink" Target="https://www.realtytrac.com/property/oh/loudonville/44842/916-n-union-st/237068730/" TargetMode="External"/><Relationship Id="rId623" Type="http://schemas.openxmlformats.org/officeDocument/2006/relationships/hyperlink" Target="https://www.zillow.com/homedetails/2340-Crehore-St-Lorain-OH-44052/2086690949_zpid/" TargetMode="External"/><Relationship Id="rId622" Type="http://schemas.openxmlformats.org/officeDocument/2006/relationships/hyperlink" Target="https://www.realtytrac.com/property/oh/lima/45804/1401-s-sugar-st/183397560/" TargetMode="External"/><Relationship Id="rId621" Type="http://schemas.openxmlformats.org/officeDocument/2006/relationships/hyperlink" Target="https://www.xome.com/realestate/4030-allentown-rd-lima-oh-45807-15248885" TargetMode="External"/><Relationship Id="rId628" Type="http://schemas.openxmlformats.org/officeDocument/2006/relationships/hyperlink" Target="https://www.estately.com/listings/info/7490-coon-club-rd" TargetMode="External"/><Relationship Id="rId627" Type="http://schemas.openxmlformats.org/officeDocument/2006/relationships/hyperlink" Target="https://www.realtor.com/realestateandhomes-detail/2177-Nave-Rd-SE_Massillon_OH_44646_M41361-18019" TargetMode="External"/><Relationship Id="rId626" Type="http://schemas.openxmlformats.org/officeDocument/2006/relationships/hyperlink" Target="https://www.howardhanna.com/Property/Detail/1650-S-Main-Mansfield-OH-44907/MansfieldOHSold/9042948" TargetMode="External"/><Relationship Id="rId625" Type="http://schemas.openxmlformats.org/officeDocument/2006/relationships/hyperlink" Target="https://www.realtytrac.com/property/oh/louisville/44641/4446-meese-rd/242724115/" TargetMode="External"/><Relationship Id="rId620" Type="http://schemas.openxmlformats.org/officeDocument/2006/relationships/hyperlink" Target="https://www.howardhanna.com/Property/Detail/1051-Sugar-Grove-Road-SE-Lancaster-OH-43130/NorthernOHSold/4054991" TargetMode="External"/><Relationship Id="rId619" Type="http://schemas.openxmlformats.org/officeDocument/2006/relationships/hyperlink" Target="https://www.realtytrac.com/property/oh/hamilton/45013/534-ross-ave/32929746/" TargetMode="External"/><Relationship Id="rId618" Type="http://schemas.openxmlformats.org/officeDocument/2006/relationships/hyperlink" Target="https://www.xome.com/commercial-for-sale/4371-Grove-City-Road-Grove-City-OH-43123-307643925" TargetMode="External"/><Relationship Id="rId613" Type="http://schemas.openxmlformats.org/officeDocument/2006/relationships/hyperlink" Target="https://www.realtytrac.com/property/oh/defiance/43512/1757-s-clinton-st/213453520/" TargetMode="External"/><Relationship Id="rId612" Type="http://schemas.openxmlformats.org/officeDocument/2006/relationships/hyperlink" Target="https://www.realtytrac.com/property/oh/defiance/43512/1757-s-clinton-st/213453520/" TargetMode="External"/><Relationship Id="rId611" Type="http://schemas.openxmlformats.org/officeDocument/2006/relationships/hyperlink" Target="https://www.commercialexchange.com/listing/23945458/2700-N-Gettysburg-Ave-Dayton-OH-45406" TargetMode="External"/><Relationship Id="rId610" Type="http://schemas.openxmlformats.org/officeDocument/2006/relationships/hyperlink" Target="https://www.realtor.com/realestateandhomes-detail/5636-Burkhardt-Rd_Dayton_OH_45431_M93621-23241" TargetMode="External"/><Relationship Id="rId617" Type="http://schemas.openxmlformats.org/officeDocument/2006/relationships/hyperlink" Target="https://www.xome.com/commercial-for-sale/5629-Bridgetown-Road-Green-Twp-OH-45248-296929156" TargetMode="External"/><Relationship Id="rId616" Type="http://schemas.openxmlformats.org/officeDocument/2006/relationships/hyperlink" Target="https://www.xome.com/realestate/1350-shannon-rd-girard-oh-44420-84438041" TargetMode="External"/><Relationship Id="rId615" Type="http://schemas.openxmlformats.org/officeDocument/2006/relationships/hyperlink" Target="https://www.xome.com/realestate/533-n-us-highway-23-fostoria-oh-44830-83160996" TargetMode="External"/><Relationship Id="rId614" Type="http://schemas.openxmlformats.org/officeDocument/2006/relationships/hyperlink" Target="https://www.howardhanna.com/Property/Detail/44715-Telegraph-Road-Elyria-OH-44035/NorthernOHSold/3979926" TargetMode="External"/><Relationship Id="rId409" Type="http://schemas.openxmlformats.org/officeDocument/2006/relationships/hyperlink" Target="https://www.redfin.com/MI/Coloma/3231-Boyer-Rd-49038/home/147603929" TargetMode="External"/><Relationship Id="rId404" Type="http://schemas.openxmlformats.org/officeDocument/2006/relationships/hyperlink" Target="https://www.redfin.com/MI/Caro/1659-E-Deckerville-Rd-48723/home/102411517" TargetMode="External"/><Relationship Id="rId646" Type="http://schemas.openxmlformats.org/officeDocument/2006/relationships/hyperlink" Target="https://www.realtor.com/realestateandhomes-detail/3924-Oneida-St_Stow_OH_44224_M31569-98393" TargetMode="External"/><Relationship Id="rId403" Type="http://schemas.openxmlformats.org/officeDocument/2006/relationships/hyperlink" Target="https://www.zillow.com/homedetails/7033-Hammond-Ave-SE-Caledonia-MI-49316/115825346_zpid/" TargetMode="External"/><Relationship Id="rId645" Type="http://schemas.openxmlformats.org/officeDocument/2006/relationships/hyperlink" Target="https://www.xome.com/realestate/2105-kenton-st-springfield-oh-45505-144192029" TargetMode="External"/><Relationship Id="rId402" Type="http://schemas.openxmlformats.org/officeDocument/2006/relationships/hyperlink" Target="https://mls.carwm.com/listing/30557420/6001-W-River-Dr-NE-Belmont-MI-49306" TargetMode="External"/><Relationship Id="rId644" Type="http://schemas.openxmlformats.org/officeDocument/2006/relationships/hyperlink" Target="https://www.xome.com/realestate/7085-state-route-61-n-shelby-oh-44875-88974387" TargetMode="External"/><Relationship Id="rId401" Type="http://schemas.openxmlformats.org/officeDocument/2006/relationships/hyperlink" Target="https://www.clasificadosonline.com/m/PartnerListingM.asp?ID=32172&amp;CID=1&amp;fbclid=IwAR27qNW_vh-raLkl4kKFNNlwJ6a_fjncdD1fg0--C0b00vVWe_RQ_kM-SPM" TargetMode="External"/><Relationship Id="rId643" Type="http://schemas.openxmlformats.org/officeDocument/2006/relationships/hyperlink" Target="https://www.estately.com/listings/info/4355-greenwich-rd" TargetMode="External"/><Relationship Id="rId408" Type="http://schemas.openxmlformats.org/officeDocument/2006/relationships/hyperlink" Target="http://www.remaxcommercial.com/?p=findahome.asp&amp;listing=true&amp;mlsid=3002&amp;mlsnumber=18022703" TargetMode="External"/><Relationship Id="rId407" Type="http://schemas.openxmlformats.org/officeDocument/2006/relationships/hyperlink" Target="https://www.realtytrac.com/property/mi/china/48054/6177-fred-w-moore-hwy/205979170/" TargetMode="External"/><Relationship Id="rId649" Type="http://schemas.openxmlformats.org/officeDocument/2006/relationships/hyperlink" Target="https://www.xome.com/realestate/3445-e-manhattan-blvd-toledo-oh-43611-77210688" TargetMode="External"/><Relationship Id="rId406" Type="http://schemas.openxmlformats.org/officeDocument/2006/relationships/hyperlink" Target="https://www.homesnap.com/MI/Battle-Creek/7085-East-Drive-N" TargetMode="External"/><Relationship Id="rId648" Type="http://schemas.openxmlformats.org/officeDocument/2006/relationships/hyperlink" Target="https://www.xome.com/realestate/7465-peters-rd-tipp-city-oh-45371-88710057" TargetMode="External"/><Relationship Id="rId405" Type="http://schemas.openxmlformats.org/officeDocument/2006/relationships/hyperlink" Target="https://www.realtor.com/realestateandhomes-detail/23247-Hospital-St_Cassopolis_MI_49031_M48617-84020" TargetMode="External"/><Relationship Id="rId647" Type="http://schemas.openxmlformats.org/officeDocument/2006/relationships/hyperlink" Target="https://www.homesnap.com/OH/Whitehouse/13923-Sherman-White-Road" TargetMode="External"/><Relationship Id="rId400" Type="http://schemas.openxmlformats.org/officeDocument/2006/relationships/hyperlink" Target="https://www.realtytrac.com/property/mi/battle-creek/49037/115-goodale-ave-e/218540108/" TargetMode="External"/><Relationship Id="rId642" Type="http://schemas.openxmlformats.org/officeDocument/2006/relationships/hyperlink" Target="https://www.howardhanna.com/Property/Detail/608-King-Street-Sandusky-OH-44870/MansfieldOHSold/9045241" TargetMode="External"/><Relationship Id="rId641" Type="http://schemas.openxmlformats.org/officeDocument/2006/relationships/hyperlink" Target="http://www.remaxcommercial.com/?p=findahome.asp&amp;listing=true&amp;mlsid=2977&amp;mlsnumber=393876498" TargetMode="External"/><Relationship Id="rId640" Type="http://schemas.openxmlformats.org/officeDocument/2006/relationships/hyperlink" Target="http://www.remaxcommercial.com/?p=findahome.asp&amp;listing=true&amp;mlsid=2977&amp;mlsnumber=372970441" TargetMode="External"/><Relationship Id="rId635" Type="http://schemas.openxmlformats.org/officeDocument/2006/relationships/hyperlink" Target="https://www.coldwellbankerhomes.com/oh/oxford/4398-oxford-riley-rd/pid_26972703/" TargetMode="External"/><Relationship Id="rId634" Type="http://schemas.openxmlformats.org/officeDocument/2006/relationships/hyperlink" Target="https://www.xome.com/realestate/1305-e-main-st-ottawa-oh-45875-80951546" TargetMode="External"/><Relationship Id="rId633" Type="http://schemas.openxmlformats.org/officeDocument/2006/relationships/hyperlink" Target="https://www.howardhanna.com/Property/Detail/1745-Walker-Lake-Road-Ontario-OH-44906/NorthernOHSold/4012281" TargetMode="External"/><Relationship Id="rId632" Type="http://schemas.openxmlformats.org/officeDocument/2006/relationships/hyperlink" Target="https://www.realtor.com/realestateandhomes-detail/1240-Granville-Rd_Newark_OH_43055_M39613-26382" TargetMode="External"/><Relationship Id="rId639" Type="http://schemas.openxmlformats.org/officeDocument/2006/relationships/hyperlink" Target="https://www.realtor.com/realestateandhomes-detail/155-Clark-St_Powhatan-Point_OH_43942_M47578-24514" TargetMode="External"/><Relationship Id="rId638" Type="http://schemas.openxmlformats.org/officeDocument/2006/relationships/hyperlink" Target="https://www.realtor.com/realestateandhomes-detail/105-S-Saint-Clairsville-Rd_Port-Washington_OH_43837_M37432-06957" TargetMode="External"/><Relationship Id="rId637" Type="http://schemas.openxmlformats.org/officeDocument/2006/relationships/hyperlink" Target="https://www.zillow.com/homedetails/9603-Bunker-Hill-Rd-SW-Port-Washington-OH-43837/58733832_zpid/" TargetMode="External"/><Relationship Id="rId636" Type="http://schemas.openxmlformats.org/officeDocument/2006/relationships/hyperlink" Target="https://www.realliving.com/commercial-for-sale/1000-Mentor-Avenue-Painesville-OH-44077-264341468" TargetMode="External"/><Relationship Id="rId631" Type="http://schemas.openxmlformats.org/officeDocument/2006/relationships/hyperlink" Target="https://www.realtytrac.com/property/oh/newark/43055/35-gainor-ave/46692061/" TargetMode="External"/><Relationship Id="rId630" Type="http://schemas.openxmlformats.org/officeDocument/2006/relationships/hyperlink" Target="https://www.realliving.com/commercial-for-sale/13323-Springfield-Road-New-Springfield-OH-44443-271248217" TargetMode="External"/><Relationship Id="rId810" Type="http://schemas.openxmlformats.org/officeDocument/2006/relationships/vmlDrawing" Target="../drawings/vmlDrawing1.vml"/><Relationship Id="rId609" Type="http://schemas.openxmlformats.org/officeDocument/2006/relationships/hyperlink" Target="https://www.howardhanna.com/Property/Detail/2505-Lockbourne-Road-Columbus-OH-43207/NorthernOHSold/4066547" TargetMode="External"/><Relationship Id="rId608" Type="http://schemas.openxmlformats.org/officeDocument/2006/relationships/hyperlink" Target="https://www.zillow.com/homedetails/6087-Ridge-Rd-Parma-OH-44129/2112566967_zpid/" TargetMode="External"/><Relationship Id="rId607" Type="http://schemas.openxmlformats.org/officeDocument/2006/relationships/hyperlink" Target="https://www.realtor.com/realestateandhomes-detail/3135-E-116th-St_Cleveland_OH_44120_M90778-27623" TargetMode="External"/><Relationship Id="rId602" Type="http://schemas.openxmlformats.org/officeDocument/2006/relationships/hyperlink" Target="https://www.realtytrac.com/property/oh/cleveland/44105/3949-e-131st-st/33468256/" TargetMode="External"/><Relationship Id="rId601" Type="http://schemas.openxmlformats.org/officeDocument/2006/relationships/hyperlink" Target="https://www.xome.com/commercial-for-sale/8046-Broadview-Road-Broadview-Heights-OH-44147-307632193" TargetMode="External"/><Relationship Id="rId600" Type="http://schemas.openxmlformats.org/officeDocument/2006/relationships/hyperlink" Target="https://www.realtor.com/realestateandhomes-detail/831-Linden-Ave_Cincinnati_OH_45215_M98780-55555" TargetMode="External"/><Relationship Id="rId606" Type="http://schemas.openxmlformats.org/officeDocument/2006/relationships/hyperlink" Target="https://www.realtor.com/realestateandhomes-detail/27503-Dunford-Rd_Westlake_OH_44145_M37890-78182" TargetMode="External"/><Relationship Id="rId605" Type="http://schemas.openxmlformats.org/officeDocument/2006/relationships/hyperlink" Target="https://www.realtor.com/realestateandhomes-detail/1406-Broadway-Ave_Bedford_OH_44146_M92380-94216" TargetMode="External"/><Relationship Id="rId604" Type="http://schemas.openxmlformats.org/officeDocument/2006/relationships/hyperlink" Target="https://www.realtytrac.com/property/oh/lakewood/44107/17526-madison-ave/36977470/" TargetMode="External"/><Relationship Id="rId603" Type="http://schemas.openxmlformats.org/officeDocument/2006/relationships/hyperlink" Target="https://www.howardhanna.com/Property/Detail/1914-E-75th-Street-Cleveland-OH-44103/NorthernOHSold/4056073" TargetMode="External"/><Relationship Id="rId228" Type="http://schemas.openxmlformats.org/officeDocument/2006/relationships/hyperlink" Target="https://ibsaproperty.com/properties/individual-apartments/ullswater-court/apartment-9/" TargetMode="External"/><Relationship Id="rId227" Type="http://schemas.openxmlformats.org/officeDocument/2006/relationships/hyperlink" Target="https://ibsaproperty.com/properties/individual-apartments/ullswater-court/apartment-8/" TargetMode="External"/><Relationship Id="rId469" Type="http://schemas.openxmlformats.org/officeDocument/2006/relationships/hyperlink" Target="https://www.grandforksherald.com/news/2060663-jehovahs-witnesses-building-sale" TargetMode="External"/><Relationship Id="rId226" Type="http://schemas.openxmlformats.org/officeDocument/2006/relationships/hyperlink" Target="https://ibsaproperty.com/properties/individual-apartments/ullswater-court/apartment-7/" TargetMode="External"/><Relationship Id="rId468" Type="http://schemas.openxmlformats.org/officeDocument/2006/relationships/hyperlink" Target="https://www.zillow.com/homedetails/501-Eugene-St-Ypsilanti-MI-48198/80873345_zpid/" TargetMode="External"/><Relationship Id="rId225" Type="http://schemas.openxmlformats.org/officeDocument/2006/relationships/hyperlink" Target="https://ibsaproperty.com/properties/individual-apartments/ullswater-court/apartment-6/" TargetMode="External"/><Relationship Id="rId467" Type="http://schemas.openxmlformats.org/officeDocument/2006/relationships/hyperlink" Target="https://www.coldwellbankerhomes.com/chicago-milwaukee/690-s-campbell-road/pid_5995060/" TargetMode="External"/><Relationship Id="rId229" Type="http://schemas.openxmlformats.org/officeDocument/2006/relationships/hyperlink" Target="https://ibsaproperty.com/houses/chenies/" TargetMode="External"/><Relationship Id="rId220" Type="http://schemas.openxmlformats.org/officeDocument/2006/relationships/hyperlink" Target="https://ibsaproperty.com/properties/individual-apartments/buttermere-court/apartment-4/" TargetMode="External"/><Relationship Id="rId462" Type="http://schemas.openxmlformats.org/officeDocument/2006/relationships/hyperlink" Target="https://www.zillow.com/homedetails/255-S-Melita-Rd-Sterling-MI-48659/2087969175_zpid/" TargetMode="External"/><Relationship Id="rId461" Type="http://schemas.openxmlformats.org/officeDocument/2006/relationships/hyperlink" Target="https://www.zillow.com/homedetails/1480-Indian-Lakes-Rd-NE-Sparta-MI-49345/2091476995_zpid/" TargetMode="External"/><Relationship Id="rId460" Type="http://schemas.openxmlformats.org/officeDocument/2006/relationships/hyperlink" Target="https://www.howardhanna.com/Property/Detail/11355-Reeck-Road-Southgate-MI-48195/DetroitMISold/218120091" TargetMode="External"/><Relationship Id="rId224" Type="http://schemas.openxmlformats.org/officeDocument/2006/relationships/hyperlink" Target="https://ibsaproperty.com/properties/individual-apartments/buttermere-court/apartment-6/" TargetMode="External"/><Relationship Id="rId466" Type="http://schemas.openxmlformats.org/officeDocument/2006/relationships/hyperlink" Target="https://www.coldwellbankerhomes.com/mi/vicksburg/15029-s-24th-st/pid_29970639/" TargetMode="External"/><Relationship Id="rId223" Type="http://schemas.openxmlformats.org/officeDocument/2006/relationships/hyperlink" Target="https://ibsaproperty.com/properties/individual-apartments/ullswater-court/apartment-5/" TargetMode="External"/><Relationship Id="rId465" Type="http://schemas.openxmlformats.org/officeDocument/2006/relationships/hyperlink" Target="https://www.xome.com/commercial-for-sale/11829-Old-27-Vanderbilt-MI-49795-327607671" TargetMode="External"/><Relationship Id="rId222" Type="http://schemas.openxmlformats.org/officeDocument/2006/relationships/hyperlink" Target="https://ibsaproperty.com/properties/individual-apartments/buttermere-court/apartment-5/" TargetMode="External"/><Relationship Id="rId464" Type="http://schemas.openxmlformats.org/officeDocument/2006/relationships/hyperlink" Target="https://www.xome.com/realestate/13108-broadway-rd-three-rivers-mi-49093-62478171" TargetMode="External"/><Relationship Id="rId221" Type="http://schemas.openxmlformats.org/officeDocument/2006/relationships/hyperlink" Target="https://ibsaproperty.com/properties/individual-apartments/ullswater-court/apartment-4/" TargetMode="External"/><Relationship Id="rId463" Type="http://schemas.openxmlformats.org/officeDocument/2006/relationships/hyperlink" Target="https://www.remax.com/mi/sterling-heights/home-details/13399-metropolitan-pkwy-sterling-heights-mi-48312/4377730130093516909" TargetMode="External"/><Relationship Id="rId217" Type="http://schemas.openxmlformats.org/officeDocument/2006/relationships/hyperlink" Target="https://ibsaproperty.com/properties/individual-apartments/ullswater-court/apartment-2/" TargetMode="External"/><Relationship Id="rId459" Type="http://schemas.openxmlformats.org/officeDocument/2006/relationships/hyperlink" Target="https://homefinder.com/home/qqZw0Er/N4077-Mackinac-Trl-Saint-Ignace-MI-49781" TargetMode="External"/><Relationship Id="rId216" Type="http://schemas.openxmlformats.org/officeDocument/2006/relationships/hyperlink" Target="https://ibsaproperty.com/properties/individual-apartments/buttermere-court/apartment-2/" TargetMode="External"/><Relationship Id="rId458" Type="http://schemas.openxmlformats.org/officeDocument/2006/relationships/hyperlink" Target="https://www.realtor.com/realestateandhomes-detail/11750-Fergus-Rd_Saint-Charles_MI_48655_M95092-03610" TargetMode="External"/><Relationship Id="rId215" Type="http://schemas.openxmlformats.org/officeDocument/2006/relationships/hyperlink" Target="https://ibsaproperty.com/properties/individual-apartments/ullswater-court/apartment-1/" TargetMode="External"/><Relationship Id="rId457" Type="http://schemas.openxmlformats.org/officeDocument/2006/relationships/hyperlink" Target="https://www.realtytrac.com/property/mi/saginaw/48601/2211-s-outer-dr/172327685/" TargetMode="External"/><Relationship Id="rId699" Type="http://schemas.openxmlformats.org/officeDocument/2006/relationships/hyperlink" Target="https://www.coldwellbankerhomes.com/pa/philadelphia/1254-56-point-breeze-avenue/pid_22024446/" TargetMode="External"/><Relationship Id="rId214" Type="http://schemas.openxmlformats.org/officeDocument/2006/relationships/hyperlink" Target="https://ibsaproperty.com/properties/individual-apartments/buttermere-court/apartment-1/" TargetMode="External"/><Relationship Id="rId456" Type="http://schemas.openxmlformats.org/officeDocument/2006/relationships/hyperlink" Target="https://www.howardhanna.com/Property/Detail/16675-Frazho-Road-Roseville-MI-48066/DetroitMISold/219014653" TargetMode="External"/><Relationship Id="rId698" Type="http://schemas.openxmlformats.org/officeDocument/2006/relationships/hyperlink" Target="https://www.realtytrac.com/property/pa/philadelphia/19126/6719-ogontz-ave/178963428/" TargetMode="External"/><Relationship Id="rId219" Type="http://schemas.openxmlformats.org/officeDocument/2006/relationships/hyperlink" Target="https://ibsaproperty.com/properties/individual-apartments/ullswater-court/apartment-3/" TargetMode="External"/><Relationship Id="rId218" Type="http://schemas.openxmlformats.org/officeDocument/2006/relationships/hyperlink" Target="https://ibsaproperty.com/properties/individual-apartments/buttermere-court/apartment-3/" TargetMode="External"/><Relationship Id="rId451" Type="http://schemas.openxmlformats.org/officeDocument/2006/relationships/hyperlink" Target="https://www.xome.com/commercial-for-sale/14392-S-M-52-Perry-Twp-MI-48872-267824243" TargetMode="External"/><Relationship Id="rId693" Type="http://schemas.openxmlformats.org/officeDocument/2006/relationships/hyperlink" Target="https://www.zillow.com/homedetails/1431-Mercer-Grove-City-Rd-Mercer-PA-16137/125872519_zpid/" TargetMode="External"/><Relationship Id="rId450" Type="http://schemas.openxmlformats.org/officeDocument/2006/relationships/hyperlink" Target="https://www.weichert.com/61778209/" TargetMode="External"/><Relationship Id="rId692" Type="http://schemas.openxmlformats.org/officeDocument/2006/relationships/hyperlink" Target="https://www.coldwellbankerhomes.com/pa/leet-township/194-ambridge-ave/pid_31185371/" TargetMode="External"/><Relationship Id="rId691" Type="http://schemas.openxmlformats.org/officeDocument/2006/relationships/hyperlink" Target="https://www.realtor.com/realestateandhomes-detail/404-Walters-Ave_Johnstown_PA_15904_M48363-97324" TargetMode="External"/><Relationship Id="rId690" Type="http://schemas.openxmlformats.org/officeDocument/2006/relationships/hyperlink" Target="https://www.zillow.com/homedetails/325-Thomas-Jersey-Shore-PA-17740/2088724506_zpid/" TargetMode="External"/><Relationship Id="rId213" Type="http://schemas.openxmlformats.org/officeDocument/2006/relationships/hyperlink" Target="https://www.richardbaddeley.co.uk/wp-content/uploads/2014/01/FOR-SALE-KINGDOM-HALL.pdf" TargetMode="External"/><Relationship Id="rId455" Type="http://schemas.openxmlformats.org/officeDocument/2006/relationships/hyperlink" Target="https://www.realtytrac.com/property/mi/riverview/48193/18637-ray-st/38468884/" TargetMode="External"/><Relationship Id="rId697" Type="http://schemas.openxmlformats.org/officeDocument/2006/relationships/hyperlink" Target="https://www.realtytrac.com/property/pa/philadelphia/19132/2309-2313-n-broad-st-2313/178210008/" TargetMode="External"/><Relationship Id="rId212" Type="http://schemas.openxmlformats.org/officeDocument/2006/relationships/hyperlink" Target="https://www.novaloca.com/office-space/for-sale/kingston-upon-thames/the-kingdom-hall-29a-alexandra-road/155484" TargetMode="External"/><Relationship Id="rId454" Type="http://schemas.openxmlformats.org/officeDocument/2006/relationships/hyperlink" Target="https://www.xome.com/realestate/14550-30th-ave-remus-mi-49340-60797899" TargetMode="External"/><Relationship Id="rId696" Type="http://schemas.openxmlformats.org/officeDocument/2006/relationships/hyperlink" Target="https://www.google.com/maps/place/Jehovah's+Witnesses/@39.9352634,-75.1646317,15z/data=!4m5!3m4!1s0x0:0x997ab87b0c8d7d31!8m2!3d39.9352634!4d-75.1646317" TargetMode="External"/><Relationship Id="rId211" Type="http://schemas.openxmlformats.org/officeDocument/2006/relationships/hyperlink" Target="https://www.ryder-dutton.co.uk/properties/12485180/sales/COM170029" TargetMode="External"/><Relationship Id="rId453" Type="http://schemas.openxmlformats.org/officeDocument/2006/relationships/hyperlink" Target="https://www.realtor.com/realestateandhomes-detail/1670-Nantucket-Rd_Plymouth_MI_48170_M48322-93303" TargetMode="External"/><Relationship Id="rId695" Type="http://schemas.openxmlformats.org/officeDocument/2006/relationships/hyperlink" Target="https://www.loopnet.com/Listing/17-E-4th-St-Northampton-PA/14803673/" TargetMode="External"/><Relationship Id="rId210" Type="http://schemas.openxmlformats.org/officeDocument/2006/relationships/hyperlink" Target="https://www.google.com.au/maps/search/Kingdom+hall+47+Laburnum+Grove,+Halton,+Runcorn+WA7+5EU,+UK/@53.3282783,-2.7220342,146m/data=!3m1!1e3?hl=en-GB" TargetMode="External"/><Relationship Id="rId452" Type="http://schemas.openxmlformats.org/officeDocument/2006/relationships/hyperlink" Target="https://www.xome.com/commercial-for-sale/317-N-Water-Street-Pinconning-MI-48650-310042037" TargetMode="External"/><Relationship Id="rId694" Type="http://schemas.openxmlformats.org/officeDocument/2006/relationships/hyperlink" Target="http://www.remaxcommercial.com/?p=findahome.asp&amp;listing=true&amp;mlsid=5605&amp;mlsnumber=1011376328" TargetMode="External"/><Relationship Id="rId491" Type="http://schemas.openxmlformats.org/officeDocument/2006/relationships/hyperlink" Target="https://www.coldwellbankerhomes.com/nj/verona/42-personette-avenue/pid_22642608/" TargetMode="External"/><Relationship Id="rId490" Type="http://schemas.openxmlformats.org/officeDocument/2006/relationships/hyperlink" Target="https://www.coldwellbankerhomes.com/nj/new-brunswick/121-french-st/pid_21774376/" TargetMode="External"/><Relationship Id="rId249" Type="http://schemas.openxmlformats.org/officeDocument/2006/relationships/hyperlink" Target="https://www.realla.co.uk/details/16532523" TargetMode="External"/><Relationship Id="rId248" Type="http://schemas.openxmlformats.org/officeDocument/2006/relationships/hyperlink" Target="https://nethouseprices.com/house-prices/street-details-sale/6b32222cffed01f1e0536c04a8c0d2c8/59%20bridge%20street,%20morpeth,%20ne61%201pq/2018" TargetMode="External"/><Relationship Id="rId247" Type="http://schemas.openxmlformats.org/officeDocument/2006/relationships/hyperlink" Target="https://ibsaproperty.com/houses/lowood-house/" TargetMode="External"/><Relationship Id="rId489" Type="http://schemas.openxmlformats.org/officeDocument/2006/relationships/hyperlink" Target="https://www.coldwellbankerhomes.com/nj/burlington/821-jacksonville-mt-holly-road/pid_24684647/" TargetMode="External"/><Relationship Id="rId242" Type="http://schemas.openxmlformats.org/officeDocument/2006/relationships/hyperlink" Target="https://ibsaproperty.com/houses/no-1-the-ridgeway/" TargetMode="External"/><Relationship Id="rId484" Type="http://schemas.openxmlformats.org/officeDocument/2006/relationships/hyperlink" Target="https://www.coldwellbankerhomes.com/nj/delaware-township/160-ferry-rd/pid_29911232/" TargetMode="External"/><Relationship Id="rId241" Type="http://schemas.openxmlformats.org/officeDocument/2006/relationships/hyperlink" Target="https://ibsaproperty.com/properties/apartments/tadworth-court/" TargetMode="External"/><Relationship Id="rId483" Type="http://schemas.openxmlformats.org/officeDocument/2006/relationships/hyperlink" Target="https://www.coldwellbankerhomes.com/nj/bradley-beach/28-main-st/pid_35800439/" TargetMode="External"/><Relationship Id="rId240" Type="http://schemas.openxmlformats.org/officeDocument/2006/relationships/hyperlink" Target="https://ibsaproperty.com/houses/ridgetop/" TargetMode="External"/><Relationship Id="rId482" Type="http://schemas.openxmlformats.org/officeDocument/2006/relationships/hyperlink" Target="https://www.loopnet.com/Listing/16878634/2237-Sherwood-Avenue-Tarboro-NC/" TargetMode="External"/><Relationship Id="rId481" Type="http://schemas.openxmlformats.org/officeDocument/2006/relationships/hyperlink" Target="https://www.loopnet.com/Listing/116-McCoy-Rd-Reidsville-NC/18800162/" TargetMode="External"/><Relationship Id="rId246" Type="http://schemas.openxmlformats.org/officeDocument/2006/relationships/hyperlink" Target="https://www.fhp.co.uk/properties/former-kingdom-hall-redcliffe-road" TargetMode="External"/><Relationship Id="rId488" Type="http://schemas.openxmlformats.org/officeDocument/2006/relationships/hyperlink" Target="https://www.coldwellbankerhomes.com/nj/mantua/212-taylor-avenue/pid_20597542/" TargetMode="External"/><Relationship Id="rId245" Type="http://schemas.openxmlformats.org/officeDocument/2006/relationships/hyperlink" Target="https://ibsaproperty.com/properties/apartments/whitby-court/" TargetMode="External"/><Relationship Id="rId487" Type="http://schemas.openxmlformats.org/officeDocument/2006/relationships/hyperlink" Target="https://www.yelp.com/biz/jehovahs-witness-north-congregation-jersey-city" TargetMode="External"/><Relationship Id="rId244" Type="http://schemas.openxmlformats.org/officeDocument/2006/relationships/hyperlink" Target="https://ibsaproperty.com/properties/watchtower-house/" TargetMode="External"/><Relationship Id="rId486" Type="http://schemas.openxmlformats.org/officeDocument/2006/relationships/hyperlink" Target="https://www.realtytrac.com/property/nj/jersey-city/07305/116-martin-luther-king-jr-dr/201889244/" TargetMode="External"/><Relationship Id="rId243" Type="http://schemas.openxmlformats.org/officeDocument/2006/relationships/hyperlink" Target="https://www.rightmove.co.uk/house-prices/detailMatching.html?prop=46956714&amp;sale=6477646&amp;country=england" TargetMode="External"/><Relationship Id="rId485" Type="http://schemas.openxmlformats.org/officeDocument/2006/relationships/hyperlink" Target="https://www.realtor.com/realestateandhomes-detail/416-Darmstadt-Ave_Egg-Harbor-City_NJ_08215_M99773-52249" TargetMode="External"/><Relationship Id="rId480" Type="http://schemas.openxmlformats.org/officeDocument/2006/relationships/hyperlink" Target="https://www.zillow.com/homedetails/635-Liberty-Rd-High-Point-NC-27263/2085408070_zpid/" TargetMode="External"/><Relationship Id="rId239" Type="http://schemas.openxmlformats.org/officeDocument/2006/relationships/hyperlink" Target="https://ibsaproperty.com/properties/apartments/richmond-court/" TargetMode="External"/><Relationship Id="rId238" Type="http://schemas.openxmlformats.org/officeDocument/2006/relationships/hyperlink" Target="https://ibsaproperty.com/properties/apartments/lexington-court/" TargetMode="External"/><Relationship Id="rId237" Type="http://schemas.openxmlformats.org/officeDocument/2006/relationships/hyperlink" Target="https://ibsaproperty.com/houses/landfall/" TargetMode="External"/><Relationship Id="rId479" Type="http://schemas.openxmlformats.org/officeDocument/2006/relationships/hyperlink" Target="https://www.realtor.com/realestateandhomes-detail/635-Liberty-Rd_High-Point_NC_27263_M53508-00554" TargetMode="External"/><Relationship Id="rId236" Type="http://schemas.openxmlformats.org/officeDocument/2006/relationships/hyperlink" Target="https://ibsaproperty.com/properties/ibsa-house/" TargetMode="External"/><Relationship Id="rId478" Type="http://schemas.openxmlformats.org/officeDocument/2006/relationships/hyperlink" Target="https://www.realliving.com/greater-montana/commercial-for-sale/address-not-available-Saint-Ignatius-MT-59865-282245487" TargetMode="External"/><Relationship Id="rId231" Type="http://schemas.openxmlformats.org/officeDocument/2006/relationships/hyperlink" Target="https://www.houser.co.uk/flat-21,-coniston-court,-5-langstone-way,-london-nw7-1gp-p4430808" TargetMode="External"/><Relationship Id="rId473" Type="http://schemas.openxmlformats.org/officeDocument/2006/relationships/hyperlink" Target="https://www.officespace.com/mo/jefferson-city/1771636-821-magnolia-pl" TargetMode="External"/><Relationship Id="rId230" Type="http://schemas.openxmlformats.org/officeDocument/2006/relationships/hyperlink" Target="https://ibsaproperty.com/properties/conf-centre-and-open-field/" TargetMode="External"/><Relationship Id="rId472" Type="http://schemas.openxmlformats.org/officeDocument/2006/relationships/hyperlink" Target="https://www.charliegerken.com/listings/view/15037-farm-road-cassville-mo-60142970.html" TargetMode="External"/><Relationship Id="rId471" Type="http://schemas.openxmlformats.org/officeDocument/2006/relationships/hyperlink" Target="http://www16.co.hennepin.mn.us/pins/addrresult.jsp" TargetMode="External"/><Relationship Id="rId470" Type="http://schemas.openxmlformats.org/officeDocument/2006/relationships/hyperlink" Target="https://www.redfin.com/MN/Faribault/2618-Park-Ave-NW-55021/home/100208608" TargetMode="External"/><Relationship Id="rId235" Type="http://schemas.openxmlformats.org/officeDocument/2006/relationships/hyperlink" Target="https://ibsaproperty.com/properties/apartments/harrogate-court/" TargetMode="External"/><Relationship Id="rId477" Type="http://schemas.openxmlformats.org/officeDocument/2006/relationships/hyperlink" Target="https://www.loopnet.com/Listing/926-Smelter-Ave-NW-Great-Falls-MT/18182941/" TargetMode="External"/><Relationship Id="rId234" Type="http://schemas.openxmlformats.org/officeDocument/2006/relationships/hyperlink" Target="https://www.zoopla.co.uk/property/hadleigh/the-ridgeway/london/nw7-1rp/17263507" TargetMode="External"/><Relationship Id="rId476" Type="http://schemas.openxmlformats.org/officeDocument/2006/relationships/hyperlink" Target="https://www.clasificadosonline.com/m/PartnerListingM.asp?ID=32172&amp;CID=1&amp;fbclid=IwAR27qNW_vh-raLkl4kKFNNlwJ6a_fjncdD1fg0--C0b00vVWe_RQ_kM-SPM" TargetMode="External"/><Relationship Id="rId233" Type="http://schemas.openxmlformats.org/officeDocument/2006/relationships/hyperlink" Target="https://www.zoopla.co.uk/property/1-elstree-way/borehamwood/wd6-1rn/30392271" TargetMode="External"/><Relationship Id="rId475" Type="http://schemas.openxmlformats.org/officeDocument/2006/relationships/hyperlink" Target="https://www.crye-leike.com/1303-hwy-178-east/new%20albany/ms/38652/tid-tupelo-mlsnum-19-2798" TargetMode="External"/><Relationship Id="rId232" Type="http://schemas.openxmlformats.org/officeDocument/2006/relationships/hyperlink" Target="https://ibsaproperty.com/houses/elbury/" TargetMode="External"/><Relationship Id="rId474" Type="http://schemas.openxmlformats.org/officeDocument/2006/relationships/hyperlink" Target="https://www.coldwellbankerhomes.com/mo/manchester/115-baxter-rd/pid_29854967/" TargetMode="External"/><Relationship Id="rId426" Type="http://schemas.openxmlformats.org/officeDocument/2006/relationships/hyperlink" Target="https://dmartin.remax-michigan.com/ListingDetails/13130-Benton-Grand-Ledge-MI-48837/235345" TargetMode="External"/><Relationship Id="rId668" Type="http://schemas.openxmlformats.org/officeDocument/2006/relationships/hyperlink" Target="https://www.zillow.com/homedetails/539-Division-Ave-Drain-OR-97435/2080049168_zpid/" TargetMode="External"/><Relationship Id="rId425" Type="http://schemas.openxmlformats.org/officeDocument/2006/relationships/hyperlink" Target="https://www.coldwellbankerhomes.com/mi/fremont/4040-w-72nd-street/pid_3342803/" TargetMode="External"/><Relationship Id="rId667" Type="http://schemas.openxmlformats.org/officeDocument/2006/relationships/hyperlink" Target="https://www.realtytrac.com/property/or/aurora/97002/13533-ehlen-rd-ne/198371358/" TargetMode="External"/><Relationship Id="rId424" Type="http://schemas.openxmlformats.org/officeDocument/2006/relationships/hyperlink" Target="https://www.realtor.com/realestateandhomes-detail/5149-Bray-Rd_Flint_MI_48505_M47044-03649" TargetMode="External"/><Relationship Id="rId666" Type="http://schemas.openxmlformats.org/officeDocument/2006/relationships/hyperlink" Target="https://www.realtor.com/realestateandhomes-detail/12615-E-Admiral-Pl_Tulsa_OK_74116_M75774-58558" TargetMode="External"/><Relationship Id="rId423" Type="http://schemas.openxmlformats.org/officeDocument/2006/relationships/hyperlink" Target="https://www.zillow.com/homedetails/26170-Leonard-St-Flat-Rock-MI-48134/88185185_zpid/" TargetMode="External"/><Relationship Id="rId665" Type="http://schemas.openxmlformats.org/officeDocument/2006/relationships/hyperlink" Target="https://www.xome.com/realestate/402-e-boundary-st-perry-ok-73077-80983456" TargetMode="External"/><Relationship Id="rId429" Type="http://schemas.openxmlformats.org/officeDocument/2006/relationships/hyperlink" Target="http://www.remaxcommercial.com/?p=findahome.asp&amp;listing=true&amp;mlsid=3126&amp;mlsnumber=201805187" TargetMode="External"/><Relationship Id="rId428" Type="http://schemas.openxmlformats.org/officeDocument/2006/relationships/hyperlink" Target="https://www.zillow.com/homedetails/2306-Mckee-Ave-SW-Grand-Rapids-MI-49503/23835024_zpid/" TargetMode="External"/><Relationship Id="rId427" Type="http://schemas.openxmlformats.org/officeDocument/2006/relationships/hyperlink" Target="https://www.realtor.com/realestateandhomes-detail/4453-Fruit-Ridge-Ave-NW_Grand-Rapids_MI_49544_M32731-78105" TargetMode="External"/><Relationship Id="rId669" Type="http://schemas.openxmlformats.org/officeDocument/2006/relationships/hyperlink" Target="https://harcourtsusa.com/Property/2509704/19243079/1113-Lamb-ST" TargetMode="External"/><Relationship Id="rId660" Type="http://schemas.openxmlformats.org/officeDocument/2006/relationships/hyperlink" Target="https://www.howardhanna.com/Property/Detail/4095-Kirtland-Rd-Willoughby-OH-44094/NorthernOHSold/3974246" TargetMode="External"/><Relationship Id="rId422" Type="http://schemas.openxmlformats.org/officeDocument/2006/relationships/hyperlink" Target="https://www.realtor.com/realestateandhomes-detail/8972-Holmes-Hwy_Eaton-Rapids_MI_48827_M44418-63187" TargetMode="External"/><Relationship Id="rId664" Type="http://schemas.openxmlformats.org/officeDocument/2006/relationships/hyperlink" Target="https://www.loopnet.com/Listing/502-W-Apache-St-Lindsay-OK/16532880/" TargetMode="External"/><Relationship Id="rId421" Type="http://schemas.openxmlformats.org/officeDocument/2006/relationships/hyperlink" Target="https://www.xome.com/commercial-for-sale/9754-Lansing-Durand-MI-48429-303853656" TargetMode="External"/><Relationship Id="rId663" Type="http://schemas.openxmlformats.org/officeDocument/2006/relationships/hyperlink" Target="https://www.realtytrac.com/property/ok/guthrie/73044/315-n-20th-st/208918450/" TargetMode="External"/><Relationship Id="rId420" Type="http://schemas.openxmlformats.org/officeDocument/2006/relationships/hyperlink" Target="https://www.realtytrac.com/property/mi/detroit/48238/10700-puritan-st/172533943/" TargetMode="External"/><Relationship Id="rId662" Type="http://schemas.openxmlformats.org/officeDocument/2006/relationships/hyperlink" Target="https://www.howardhanna.com/Property/Detail/12-East-Dewey-Ave-Youngstown-OH-44507/NorthernOHSold/3977511" TargetMode="External"/><Relationship Id="rId661" Type="http://schemas.openxmlformats.org/officeDocument/2006/relationships/hyperlink" Target="https://www.sibcycline.com/Listing/CIN/1606402/831-Linden-Ave-Woodlawn-OH-45215" TargetMode="External"/><Relationship Id="rId415" Type="http://schemas.openxmlformats.org/officeDocument/2006/relationships/hyperlink" Target="https://www.zillow.com/homedetails/4900-Fernwood-St-Detroit-MI-48204/2086244458_zpid/" TargetMode="External"/><Relationship Id="rId657" Type="http://schemas.openxmlformats.org/officeDocument/2006/relationships/hyperlink" Target="https://www.xome.com/commercial-for-sale/1963-Ewalt-Warren-OH-44483-307530806" TargetMode="External"/><Relationship Id="rId414" Type="http://schemas.openxmlformats.org/officeDocument/2006/relationships/hyperlink" Target="https://www.trulia.com/p/mi/detroit/9300-e-forest-ave-detroit-mi-48214--2099313027" TargetMode="External"/><Relationship Id="rId656" Type="http://schemas.openxmlformats.org/officeDocument/2006/relationships/hyperlink" Target="https://www.xome.com/commercial-for-sale/3555-Tod-Avenue-NW-Warren-OH-44485-313119169" TargetMode="External"/><Relationship Id="rId413" Type="http://schemas.openxmlformats.org/officeDocument/2006/relationships/hyperlink" Target="https://www.zillow.com/homedetails/11249-E-7-Mile-Rd-Detroit-MI-48234/2134576350_zpid/" TargetMode="External"/><Relationship Id="rId655" Type="http://schemas.openxmlformats.org/officeDocument/2006/relationships/hyperlink" Target="https://www.sibcycline.com/Listing/WRIST/416497/916-W-Plum-St-Wapakoneta-OH-45895" TargetMode="External"/><Relationship Id="rId412" Type="http://schemas.openxmlformats.org/officeDocument/2006/relationships/hyperlink" Target="https://www.realtytrac.com/property/mi/detroit/48212/17950-charest-st/38395166/" TargetMode="External"/><Relationship Id="rId654" Type="http://schemas.openxmlformats.org/officeDocument/2006/relationships/hyperlink" Target="https://www.howardhanna.com/Property/Detail/10819-W-State-Hwy-53-Upper-Sandusky-OH-43351/ToledoOHSold/H140159" TargetMode="External"/><Relationship Id="rId419" Type="http://schemas.openxmlformats.org/officeDocument/2006/relationships/hyperlink" Target="https://www.realtytrac.com/property/mi/detroit/48215/12601-e-canfield-st/153982198/" TargetMode="External"/><Relationship Id="rId418" Type="http://schemas.openxmlformats.org/officeDocument/2006/relationships/hyperlink" Target="https://www.zillow.com/homedetails/5933-16th-St-Detroit-MI-48208/96307523_zpid/" TargetMode="External"/><Relationship Id="rId417" Type="http://schemas.openxmlformats.org/officeDocument/2006/relationships/hyperlink" Target="https://www.zillow.com/homedetails/5220-Roosevelt-St-Detroit-MI-48208/121179247_zpid/" TargetMode="External"/><Relationship Id="rId659" Type="http://schemas.openxmlformats.org/officeDocument/2006/relationships/hyperlink" Target="https://www.howardhanna.com/Property/Detail/13923-Sherman-White-Road-Whitehouse-OH-43571/ToledoOH/6049854" TargetMode="External"/><Relationship Id="rId416" Type="http://schemas.openxmlformats.org/officeDocument/2006/relationships/hyperlink" Target="https://www.zillow.com/homedetails/14100-Puritan-St-Detroit-MI-48227/2082922712_zpid/" TargetMode="External"/><Relationship Id="rId658" Type="http://schemas.openxmlformats.org/officeDocument/2006/relationships/hyperlink" Target="https://www.realtor.com/realestateandhomes-detail/514-York-St_North-Bloomfield_OH_44450_M35925-55058" TargetMode="External"/><Relationship Id="rId411" Type="http://schemas.openxmlformats.org/officeDocument/2006/relationships/hyperlink" Target="https://www.trulia.com/p/mi/dearborn/8805-tireman-ave-dearborn-mi-48126--2050133085" TargetMode="External"/><Relationship Id="rId653" Type="http://schemas.openxmlformats.org/officeDocument/2006/relationships/hyperlink" Target="https://www.realliving.com/commercial-for-sale/7041-State-Route-800-SE-Uhrichsville-OH-44683-252542877" TargetMode="External"/><Relationship Id="rId410" Type="http://schemas.openxmlformats.org/officeDocument/2006/relationships/hyperlink" Target="https://www.zillow.com/homedetails/7184-Davison-Rd-Davison-MI-48423/2084814103_zpid/" TargetMode="External"/><Relationship Id="rId652" Type="http://schemas.openxmlformats.org/officeDocument/2006/relationships/hyperlink" Target="https://www.coldwellbankerishome.com/for-sale/465-w-main-st-trotwood-oh-45426/140-191586" TargetMode="External"/><Relationship Id="rId651" Type="http://schemas.openxmlformats.org/officeDocument/2006/relationships/hyperlink" Target="https://www.publicdatausa.com/chris-house" TargetMode="External"/><Relationship Id="rId650" Type="http://schemas.openxmlformats.org/officeDocument/2006/relationships/hyperlink" Target="https://www.beenverified.com/property/oh/toledo/bancroft-st-residences/" TargetMode="External"/><Relationship Id="rId206" Type="http://schemas.openxmlformats.org/officeDocument/2006/relationships/hyperlink" Target="https://ibsaproperty.com/properties/park-homes/park-home-21/" TargetMode="External"/><Relationship Id="rId448" Type="http://schemas.openxmlformats.org/officeDocument/2006/relationships/hyperlink" Target="https://www.howardhanna.com/Property/Detail/10074-Lake-Road-Forest-Township-MI-48463/DetroitMI/219025717" TargetMode="External"/><Relationship Id="rId205" Type="http://schemas.openxmlformats.org/officeDocument/2006/relationships/hyperlink" Target="https://ibsaproperty.com/properties/park-homes/park-home-14/" TargetMode="External"/><Relationship Id="rId447" Type="http://schemas.openxmlformats.org/officeDocument/2006/relationships/hyperlink" Target="https://www.realtor.com/realestateandhomes-detail/2875-Whitehall-Rd_Muskegon_MI_49445_M99568-74602?cid=psr_profile_listings_lat_lng" TargetMode="External"/><Relationship Id="rId689" Type="http://schemas.openxmlformats.org/officeDocument/2006/relationships/hyperlink" Target="https://www.xome.com/commercial-for-sale/2550-Applebutter-Road-Lower-Saucon-Twp-PA-18055-303861025" TargetMode="External"/><Relationship Id="rId204" Type="http://schemas.openxmlformats.org/officeDocument/2006/relationships/hyperlink" Target="https://ibsaproperty.com/properties/park-homes/park-home-12/" TargetMode="External"/><Relationship Id="rId446" Type="http://schemas.openxmlformats.org/officeDocument/2006/relationships/hyperlink" Target="https://www.coldwellbankerhomes.com/mi/muskegon/3086-e-apple-ave/pid_34742357/" TargetMode="External"/><Relationship Id="rId688" Type="http://schemas.openxmlformats.org/officeDocument/2006/relationships/hyperlink" Target="https://www.xome.com/realestate/469-w-state-st-hamburg-pa-19526-95395673" TargetMode="External"/><Relationship Id="rId203" Type="http://schemas.openxmlformats.org/officeDocument/2006/relationships/hyperlink" Target="https://ibsaproperty.com/properties/park-homes/park-home-7/" TargetMode="External"/><Relationship Id="rId445" Type="http://schemas.openxmlformats.org/officeDocument/2006/relationships/hyperlink" Target="https://www.zillow.com/homedetails/13000-Morenci-Rd-Morenci-MI-49256/68218421_zpid/" TargetMode="External"/><Relationship Id="rId687" Type="http://schemas.openxmlformats.org/officeDocument/2006/relationships/hyperlink" Target="https://www.coldwellbankerhomes.com/pa/erwinna/987-river-rd/pid_28151521/" TargetMode="External"/><Relationship Id="rId209" Type="http://schemas.openxmlformats.org/officeDocument/2006/relationships/hyperlink" Target="https://themovemarket.com/tools/propertyprices/77-stourbridge-road-dudley-west-midlands-dy1-2dh" TargetMode="External"/><Relationship Id="rId208" Type="http://schemas.openxmlformats.org/officeDocument/2006/relationships/hyperlink" Target="https://www.onthemarket.com/details/3593019/" TargetMode="External"/><Relationship Id="rId207" Type="http://schemas.openxmlformats.org/officeDocument/2006/relationships/hyperlink" Target="https://www.streetlist.co.uk/ch/ch5/ch5-4/tuscan-way" TargetMode="External"/><Relationship Id="rId449" Type="http://schemas.openxmlformats.org/officeDocument/2006/relationships/hyperlink" Target="https://www.zillow.com/homedetails/36023-County-Road-358-Paw-Paw-MI-49079/74819762_zpid/" TargetMode="External"/><Relationship Id="rId440" Type="http://schemas.openxmlformats.org/officeDocument/2006/relationships/hyperlink" Target="https://www.trulia.com/p/mi/manistee/331-4th-st-manistee-mi-49660--2052588656" TargetMode="External"/><Relationship Id="rId682" Type="http://schemas.openxmlformats.org/officeDocument/2006/relationships/hyperlink" Target="https://www.xome.com/realestate/140-barren-hill-rd-conshohocken-pa-19428-90820426" TargetMode="External"/><Relationship Id="rId681" Type="http://schemas.openxmlformats.org/officeDocument/2006/relationships/hyperlink" Target="https://www.xome.com/realestate/400-arnold-ave-clearfield-pa-16830-94555243" TargetMode="External"/><Relationship Id="rId680" Type="http://schemas.openxmlformats.org/officeDocument/2006/relationships/hyperlink" Target="https://www.coldwellbankerhomes.com/pa/cheswick/490-nixon-rd/pid_27539864/" TargetMode="External"/><Relationship Id="rId202" Type="http://schemas.openxmlformats.org/officeDocument/2006/relationships/hyperlink" Target="https://ibsaproperty.com/properties/st-johns/55-mary-munnion-quarter/" TargetMode="External"/><Relationship Id="rId444" Type="http://schemas.openxmlformats.org/officeDocument/2006/relationships/hyperlink" Target="https://www.realtor.com/realestateandhomes-detail/338-E-Lewis-Ave_Milan_MI_48160_M44624-24635" TargetMode="External"/><Relationship Id="rId686" Type="http://schemas.openxmlformats.org/officeDocument/2006/relationships/hyperlink" Target="https://www.zillow.com/homedetails/621-W-2nd-St-Erie-PA-16507/2118458836_zpid/" TargetMode="External"/><Relationship Id="rId201" Type="http://schemas.openxmlformats.org/officeDocument/2006/relationships/hyperlink" Target="https://ibsaproperty.com/properties/st-johns/53-mary-munnion-quarter/" TargetMode="External"/><Relationship Id="rId443" Type="http://schemas.openxmlformats.org/officeDocument/2006/relationships/hyperlink" Target="https://www.google.com/maps/@45.1404755,-87.6116699,3a,75y,201.5h,88.69t/data=!3m7!1e1!3m5!1smArKDck4BzDsnmzBjfTTdA!2e0!6s%2F%2Fgeo1.ggpht.com%2Fcbk%3Fpanoid%3DmArKDck4BzDsnmzBjfTTdA%26output%3Dthumbnail%26cb_client%3Dmaps_sv.tactile.gps%26thumb%3D2%26w%3D203%26h%3D100%26yaw%3D170.05241%26pitch%3D0%26thumbfov%3D100!7i3328!8i1664" TargetMode="External"/><Relationship Id="rId685" Type="http://schemas.openxmlformats.org/officeDocument/2006/relationships/hyperlink" Target="https://www.zillow.com/homedetails/620-West-Main-Elkland-PA-16920/2089083600_zpid/" TargetMode="External"/><Relationship Id="rId200" Type="http://schemas.openxmlformats.org/officeDocument/2006/relationships/hyperlink" Target="https://ibsaproperty.com/properties/st-johns/51-mary-munnion-quarter/" TargetMode="External"/><Relationship Id="rId442" Type="http://schemas.openxmlformats.org/officeDocument/2006/relationships/hyperlink" Target="https://www.realtor.com/realestateandhomes-detail/5358-W-Taylor-Rd_Mears_MI_49436_M30014-59734" TargetMode="External"/><Relationship Id="rId684" Type="http://schemas.openxmlformats.org/officeDocument/2006/relationships/hyperlink" Target="https://www.google.com/maps/place/3411+Sullivan+Trail,+Easton,+PA+18040/@40.7380884,-75.2369759,3a,75y,65.36h,90t/data=!3m6!1e1!3m4!1sf585t0auUv3_bmXNmd2YpA!2e0!7i16384!8i8192!4m5!3m4!1s0x89c46eb005e31859:0xec3e598cf1bc16a5!8m2!3d40.7382058!4d-75.2366393" TargetMode="External"/><Relationship Id="rId441" Type="http://schemas.openxmlformats.org/officeDocument/2006/relationships/hyperlink" Target="https://www.coldwellbankerhomes.com/mi/marshall/508-homer-rd/pid_29786247/" TargetMode="External"/><Relationship Id="rId683" Type="http://schemas.openxmlformats.org/officeDocument/2006/relationships/hyperlink" Target="https://www.realtor.com/realestateandhomes-detail/Duryea_PA_18642_M39048-85994" TargetMode="External"/><Relationship Id="rId437" Type="http://schemas.openxmlformats.org/officeDocument/2006/relationships/hyperlink" Target="https://www.trulia.com/p/mi/lakeview/7450-townline-rd-lakeview-mi-48850--2051772146" TargetMode="External"/><Relationship Id="rId679" Type="http://schemas.openxmlformats.org/officeDocument/2006/relationships/hyperlink" Target="https://www.realtor.com/realestateandhomes-detail/851-Elsinore-Pl_Chester_PA_19013_M34191-57726" TargetMode="External"/><Relationship Id="rId436" Type="http://schemas.openxmlformats.org/officeDocument/2006/relationships/hyperlink" Target="https://www.realtor.com/realestateandhomes-detail/56-S-French-Rd_Lake-Leelanau_MI_49653_M35253-50439" TargetMode="External"/><Relationship Id="rId678" Type="http://schemas.openxmlformats.org/officeDocument/2006/relationships/hyperlink" Target="https://www.google.com/maps/place/630+Lindia+Dr,+Chambersburg,+PA+17201/@39.9470131,-77.6744148,3a,75y,170.71h,87.03t/data=!3m6!1e1!3m4!1sDS7lK9i49fTuB8wgRYpqQA!2e0!7i13312!8i6656!4m5!3m4!1s0x89c99dc7bb1000ab:0xe10e93ea3d673cd2!8m2!3d39.9470452!4d-77.6745949" TargetMode="External"/><Relationship Id="rId435" Type="http://schemas.openxmlformats.org/officeDocument/2006/relationships/hyperlink" Target="https://www.realtor.com/realestateandhomes-detail/4200-Nazareth-Rd_Kalamazoo_MI_49004_M43346-06275" TargetMode="External"/><Relationship Id="rId677" Type="http://schemas.openxmlformats.org/officeDocument/2006/relationships/hyperlink" Target="https://www.google.com/maps/place/932+Mercer+Rd,+Butler,+PA+16001/@40.9031049,-79.9290048,3a,75y,88.32h,90t/data=!3m6!1e1!3m4!1sNzeARF2PBmJo01vOAFD1Tg!2e0!7i16384!8i8192!4m5!3m4!1s0x88337cb70ec0feff:0x3d11791205fda1b8!8m2!3d40.9031266!4d-79.9286051" TargetMode="External"/><Relationship Id="rId434" Type="http://schemas.openxmlformats.org/officeDocument/2006/relationships/hyperlink" Target="https://www.realtor.com/realestateandhomes-detail/3530-Douglas-Ave_Kalamazoo_MI_49004_M33708-94478" TargetMode="External"/><Relationship Id="rId676" Type="http://schemas.openxmlformats.org/officeDocument/2006/relationships/hyperlink" Target="https://www.zillow.com/homedetails/4842-Wexford-Run-Rd-Bradfordwoods-PA-15015/104362872_zpid/" TargetMode="External"/><Relationship Id="rId439" Type="http://schemas.openxmlformats.org/officeDocument/2006/relationships/hyperlink" Target="https://www.google.com/maps/@42.9662047,-85.3558645,3a,37.5y,319.61h,93.96t/data=!3m6!1e1!3m4!1sAolOrPAUV-BPD6KFEzEEyA!2e0!7i16384!8i8192" TargetMode="External"/><Relationship Id="rId438" Type="http://schemas.openxmlformats.org/officeDocument/2006/relationships/hyperlink" Target="https://www.realtor.com/realestateandhomes-detail/5290-Churchill-Rd_Leslie_MI_49251_M30450-46764" TargetMode="External"/><Relationship Id="rId671" Type="http://schemas.openxmlformats.org/officeDocument/2006/relationships/hyperlink" Target="https://www.realtytrac.com/property/or/rogue-river/97537/181-w-evans-creek-rd/187419351/" TargetMode="External"/><Relationship Id="rId670" Type="http://schemas.openxmlformats.org/officeDocument/2006/relationships/hyperlink" Target="https://www.estately.com/listings/info/704-patrol-st--1" TargetMode="External"/><Relationship Id="rId433" Type="http://schemas.openxmlformats.org/officeDocument/2006/relationships/hyperlink" Target="https://www.xome.com/commercial-for-sale/3041-John-Daly-St-Inkster-MI-48141-303853324" TargetMode="External"/><Relationship Id="rId675" Type="http://schemas.openxmlformats.org/officeDocument/2006/relationships/hyperlink" Target="https://www.weichert.com/81091104/" TargetMode="External"/><Relationship Id="rId432" Type="http://schemas.openxmlformats.org/officeDocument/2006/relationships/hyperlink" Target="https://www.coldwellbankerhomes.com/mi/harrison/951-e-clarence-rd/pid_32707446/" TargetMode="External"/><Relationship Id="rId674" Type="http://schemas.openxmlformats.org/officeDocument/2006/relationships/hyperlink" Target="https://www.coldwellbankerhomes.com/pa/bethel-park/5822-irishtown-rd/pid_31479192/" TargetMode="External"/><Relationship Id="rId431" Type="http://schemas.openxmlformats.org/officeDocument/2006/relationships/hyperlink" Target="https://www.xome.com/commercial-for-sale/4093-N-M-65-Hale-MI-48739-303008156" TargetMode="External"/><Relationship Id="rId673" Type="http://schemas.openxmlformats.org/officeDocument/2006/relationships/hyperlink" Target="https://www.loopnet.com/Listing/8221-Chestnut-St-Barto-PA/16846173/" TargetMode="External"/><Relationship Id="rId430" Type="http://schemas.openxmlformats.org/officeDocument/2006/relationships/hyperlink" Target="https://www.howardhanna.com/Property/Detail/15800-Graves-Gregory-MI-48137/DetroitMI/2200013408" TargetMode="External"/><Relationship Id="rId672" Type="http://schemas.openxmlformats.org/officeDocument/2006/relationships/hyperlink" Target="https://www.estately.com/listings/info/1726-pine-s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xe.com/currencytables/?from=USD&amp;date=2020-04-01"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 Id="rId2"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2" width="21.57"/>
    <col customWidth="1" min="3" max="3" width="23.71"/>
    <col customWidth="1" min="4" max="4" width="42.29"/>
    <col customWidth="1" min="5" max="5" width="29.43"/>
    <col customWidth="1" min="6" max="6" width="24.57"/>
    <col customWidth="1" min="7" max="7" width="19.86"/>
    <col customWidth="1" min="8" max="8" width="24.86"/>
    <col customWidth="1" min="9" max="9" width="12.14"/>
    <col customWidth="1" min="10" max="10" width="20.29"/>
    <col customWidth="1" min="11" max="11" width="22.86"/>
    <col customWidth="1" min="12" max="12" width="19.43"/>
    <col customWidth="1" min="13" max="14" width="21.57"/>
    <col customWidth="1" min="15" max="15" width="11.71"/>
    <col customWidth="1" min="16" max="17" width="14.43"/>
    <col customWidth="1" min="18" max="18" width="12.57"/>
  </cols>
  <sheetData>
    <row r="1">
      <c r="A1" s="1" t="s">
        <v>0</v>
      </c>
      <c r="B1" s="2" t="s">
        <v>1</v>
      </c>
      <c r="C1" s="1" t="s">
        <v>2</v>
      </c>
      <c r="D1" s="3" t="s">
        <v>3</v>
      </c>
      <c r="E1" s="3" t="s">
        <v>4</v>
      </c>
      <c r="F1" s="3" t="s">
        <v>5</v>
      </c>
      <c r="G1" s="1" t="s">
        <v>6</v>
      </c>
      <c r="H1" s="2" t="s">
        <v>7</v>
      </c>
      <c r="I1" s="2" t="s">
        <v>8</v>
      </c>
      <c r="J1" s="4" t="s">
        <v>9</v>
      </c>
      <c r="K1" s="2" t="s">
        <v>10</v>
      </c>
      <c r="L1" s="1" t="s">
        <v>11</v>
      </c>
      <c r="M1" s="3" t="s">
        <v>12</v>
      </c>
      <c r="N1" s="3" t="s">
        <v>13</v>
      </c>
      <c r="O1" s="1" t="s">
        <v>14</v>
      </c>
      <c r="P1" s="5" t="s">
        <v>15</v>
      </c>
      <c r="Q1" s="1" t="s">
        <v>16</v>
      </c>
      <c r="R1" s="6" t="s">
        <v>17</v>
      </c>
    </row>
    <row r="2">
      <c r="A2" s="7">
        <v>44022.09156179398</v>
      </c>
      <c r="B2" s="8" t="s">
        <v>18</v>
      </c>
      <c r="C2" s="9">
        <v>95.0</v>
      </c>
      <c r="D2" s="8" t="s">
        <v>19</v>
      </c>
      <c r="E2" s="8" t="s">
        <v>20</v>
      </c>
      <c r="F2" s="8" t="s">
        <v>21</v>
      </c>
      <c r="G2" s="9" t="s">
        <v>22</v>
      </c>
      <c r="H2" s="10" t="s">
        <v>23</v>
      </c>
      <c r="I2" s="10" t="s">
        <v>24</v>
      </c>
      <c r="J2" s="11">
        <v>45000.0</v>
      </c>
      <c r="K2" s="12" t="s">
        <v>25</v>
      </c>
      <c r="L2" s="13"/>
      <c r="M2" s="14" t="s">
        <v>26</v>
      </c>
      <c r="N2" s="10"/>
      <c r="O2" s="15" t="str">
        <f t="shared" ref="O2:O963" si="1">IF(ISBLANK(L2),"Unknown",YEAR(L2))</f>
        <v>Unknown</v>
      </c>
      <c r="P2" s="16" t="str">
        <f t="shared" ref="P2:P963" si="2">RIGHT(K2,3)</f>
        <v>USD</v>
      </c>
      <c r="Q2" s="15">
        <f>IFERROR(__xludf.DUMMYFUNCTION("IFNA(INDEX(GOOGLEFINANCE(""Currency:USD""&amp;$P2,""price"",DATE(YEAR($L2),MONTH($L2),DAY($L2))),2,2),LOOKUP(P2,CurrencyCodes,UnitsPerUSD))"),1.0)</f>
        <v>1</v>
      </c>
      <c r="R2" s="17">
        <f t="shared" ref="R2:R963" si="3">J2/Q2</f>
        <v>45000</v>
      </c>
    </row>
    <row r="3">
      <c r="A3" s="7">
        <v>43946.14377328704</v>
      </c>
      <c r="B3" s="8" t="s">
        <v>18</v>
      </c>
      <c r="C3" s="9">
        <v>1045.0</v>
      </c>
      <c r="D3" s="8" t="s">
        <v>27</v>
      </c>
      <c r="E3" s="8" t="s">
        <v>28</v>
      </c>
      <c r="F3" s="8" t="s">
        <v>29</v>
      </c>
      <c r="G3" s="9"/>
      <c r="H3" s="10" t="s">
        <v>23</v>
      </c>
      <c r="I3" s="10" t="s">
        <v>24</v>
      </c>
      <c r="J3" s="11">
        <v>35000.0</v>
      </c>
      <c r="K3" s="10" t="s">
        <v>30</v>
      </c>
      <c r="L3" s="13"/>
      <c r="M3" s="14" t="s">
        <v>31</v>
      </c>
      <c r="N3" s="10"/>
      <c r="O3" s="15" t="str">
        <f t="shared" si="1"/>
        <v>Unknown</v>
      </c>
      <c r="P3" s="16" t="str">
        <f t="shared" si="2"/>
        <v>ARS</v>
      </c>
      <c r="Q3" s="15">
        <f>IFERROR(__xludf.DUMMYFUNCTION("IFNA(INDEX(GOOGLEFINANCE(""Currency:USD""&amp;$P3,""price"",DATE(YEAR($L3),MONTH($L3),DAY($L3))),2,2),LOOKUP(P3,CurrencyCodes,UnitsPerUSD))"),62.8811129422)</f>
        <v>62.88111294</v>
      </c>
      <c r="R3" s="17">
        <f t="shared" si="3"/>
        <v>556.6059245</v>
      </c>
    </row>
    <row r="4">
      <c r="A4" s="7">
        <v>43904.56264875</v>
      </c>
      <c r="B4" s="18" t="s">
        <v>18</v>
      </c>
      <c r="C4" s="19">
        <v>72.0</v>
      </c>
      <c r="D4" s="18" t="s">
        <v>32</v>
      </c>
      <c r="E4" s="20" t="s">
        <v>33</v>
      </c>
      <c r="F4" s="18"/>
      <c r="G4" s="19" t="s">
        <v>34</v>
      </c>
      <c r="H4" s="21" t="s">
        <v>23</v>
      </c>
      <c r="I4" s="21" t="s">
        <v>24</v>
      </c>
      <c r="J4" s="11">
        <v>95000.0</v>
      </c>
      <c r="K4" s="21" t="s">
        <v>30</v>
      </c>
      <c r="L4" s="22"/>
      <c r="M4" s="21"/>
      <c r="N4" s="10"/>
      <c r="O4" s="15" t="str">
        <f t="shared" si="1"/>
        <v>Unknown</v>
      </c>
      <c r="P4" s="16" t="str">
        <f t="shared" si="2"/>
        <v>ARS</v>
      </c>
      <c r="Q4" s="15">
        <f>IFERROR(__xludf.DUMMYFUNCTION("IFNA(INDEX(GOOGLEFINANCE(""Currency:USD""&amp;$P4,""price"",DATE(YEAR($L4),MONTH($L4),DAY($L4))),2,2),LOOKUP(P4,CurrencyCodes,UnitsPerUSD))"),62.8811129422)</f>
        <v>62.88111294</v>
      </c>
      <c r="R4" s="17">
        <f t="shared" si="3"/>
        <v>1510.787509</v>
      </c>
    </row>
    <row r="5">
      <c r="A5" s="7">
        <v>43901.36431290509</v>
      </c>
      <c r="B5" s="18" t="s">
        <v>18</v>
      </c>
      <c r="C5" s="19">
        <v>17.0</v>
      </c>
      <c r="D5" s="18" t="s">
        <v>35</v>
      </c>
      <c r="E5" s="18" t="s">
        <v>36</v>
      </c>
      <c r="F5" s="18" t="s">
        <v>37</v>
      </c>
      <c r="G5" s="19">
        <v>2605.0</v>
      </c>
      <c r="H5" s="21" t="s">
        <v>38</v>
      </c>
      <c r="I5" s="21" t="s">
        <v>39</v>
      </c>
      <c r="J5" s="11">
        <v>810000.0</v>
      </c>
      <c r="K5" s="21" t="s">
        <v>40</v>
      </c>
      <c r="L5" s="23">
        <v>43761.0</v>
      </c>
      <c r="M5" s="24" t="s">
        <v>41</v>
      </c>
      <c r="N5" s="12" t="s">
        <v>42</v>
      </c>
      <c r="O5" s="15">
        <f t="shared" si="1"/>
        <v>2019</v>
      </c>
      <c r="P5" s="16" t="str">
        <f t="shared" si="2"/>
        <v>AUD</v>
      </c>
      <c r="Q5" s="15">
        <f>IFERROR(__xludf.DUMMYFUNCTION("IFNA(INDEX(GOOGLEFINANCE(""Currency:USD""&amp;$P5,""price"",DATE(YEAR($L5),MONTH($L5),DAY($L5))),2,2),LOOKUP(P5,CurrencyCodes,UnitsPerUSD))"),1.459865)</f>
        <v>1.459865</v>
      </c>
      <c r="R5" s="17">
        <f t="shared" si="3"/>
        <v>554845.8248</v>
      </c>
    </row>
    <row r="6">
      <c r="A6" s="7">
        <v>44001.25647877315</v>
      </c>
      <c r="B6" s="18" t="s">
        <v>18</v>
      </c>
      <c r="C6" s="19">
        <v>46.0</v>
      </c>
      <c r="D6" s="18" t="s">
        <v>43</v>
      </c>
      <c r="E6" s="18" t="s">
        <v>44</v>
      </c>
      <c r="F6" s="18" t="s">
        <v>45</v>
      </c>
      <c r="G6" s="9">
        <v>2506.0</v>
      </c>
      <c r="H6" s="21" t="s">
        <v>38</v>
      </c>
      <c r="I6" s="21" t="s">
        <v>39</v>
      </c>
      <c r="J6" s="11">
        <v>2600000.0</v>
      </c>
      <c r="K6" s="21" t="s">
        <v>40</v>
      </c>
      <c r="L6" s="25">
        <v>42507.0</v>
      </c>
      <c r="M6" s="24" t="s">
        <v>46</v>
      </c>
      <c r="N6" s="21" t="s">
        <v>47</v>
      </c>
      <c r="O6" s="15">
        <f t="shared" si="1"/>
        <v>2016</v>
      </c>
      <c r="P6" s="16" t="str">
        <f t="shared" si="2"/>
        <v>AUD</v>
      </c>
      <c r="Q6" s="15">
        <f>IFERROR(__xludf.DUMMYFUNCTION("IFNA(INDEX(GOOGLEFINANCE(""Currency:USD""&amp;$P6,""price"",DATE(YEAR($L6),MONTH($L6),DAY($L6))),2,2),LOOKUP(P6,CurrencyCodes,UnitsPerUSD))"),1.367989)</f>
        <v>1.367989</v>
      </c>
      <c r="R6" s="17">
        <f t="shared" si="3"/>
        <v>1900600.078</v>
      </c>
    </row>
    <row r="7">
      <c r="A7" s="7">
        <v>43994.7280131713</v>
      </c>
      <c r="B7" s="18" t="s">
        <v>18</v>
      </c>
      <c r="C7" s="19">
        <v>10.0</v>
      </c>
      <c r="D7" s="18" t="s">
        <v>48</v>
      </c>
      <c r="E7" s="26" t="s">
        <v>49</v>
      </c>
      <c r="F7" s="18" t="s">
        <v>45</v>
      </c>
      <c r="G7" s="19">
        <v>2478.0</v>
      </c>
      <c r="H7" s="21" t="s">
        <v>38</v>
      </c>
      <c r="I7" s="21" t="s">
        <v>24</v>
      </c>
      <c r="J7" s="11">
        <v>2500000.0</v>
      </c>
      <c r="K7" s="21" t="s">
        <v>40</v>
      </c>
      <c r="L7" s="25">
        <v>43956.0</v>
      </c>
      <c r="M7" s="24" t="s">
        <v>50</v>
      </c>
      <c r="N7" s="27" t="s">
        <v>51</v>
      </c>
      <c r="O7" s="15">
        <f t="shared" si="1"/>
        <v>2020</v>
      </c>
      <c r="P7" s="16" t="str">
        <f t="shared" si="2"/>
        <v>AUD</v>
      </c>
      <c r="Q7" s="15">
        <f>IFERROR(__xludf.DUMMYFUNCTION("IFNA(INDEX(GOOGLEFINANCE(""Currency:USD""&amp;$P7,""price"",DATE(YEAR($L7),MONTH($L7),DAY($L7))),2,2),LOOKUP(P7,CurrencyCodes,UnitsPerUSD))"),1.554823)</f>
        <v>1.554823</v>
      </c>
      <c r="R7" s="17">
        <f t="shared" si="3"/>
        <v>1607900.063</v>
      </c>
    </row>
    <row r="8">
      <c r="A8" s="7">
        <v>44008.88547113426</v>
      </c>
      <c r="B8" s="8" t="s">
        <v>18</v>
      </c>
      <c r="C8" s="9">
        <v>158.0</v>
      </c>
      <c r="D8" s="8" t="s">
        <v>52</v>
      </c>
      <c r="E8" s="8" t="s">
        <v>53</v>
      </c>
      <c r="F8" s="8" t="s">
        <v>45</v>
      </c>
      <c r="G8" s="9">
        <v>2447.0</v>
      </c>
      <c r="H8" s="10" t="s">
        <v>38</v>
      </c>
      <c r="I8" s="10" t="s">
        <v>39</v>
      </c>
      <c r="J8" s="11">
        <v>380000.0</v>
      </c>
      <c r="K8" s="10" t="s">
        <v>40</v>
      </c>
      <c r="L8" s="25">
        <v>43546.0</v>
      </c>
      <c r="M8" s="14" t="s">
        <v>54</v>
      </c>
      <c r="N8" s="10"/>
      <c r="O8" s="15">
        <f t="shared" si="1"/>
        <v>2019</v>
      </c>
      <c r="P8" s="16" t="str">
        <f t="shared" si="2"/>
        <v>AUD</v>
      </c>
      <c r="Q8" s="15">
        <f>IFERROR(__xludf.DUMMYFUNCTION("IFNA(INDEX(GOOGLEFINANCE(""Currency:USD""&amp;$P8,""price"",DATE(YEAR($L8),MONTH($L8),DAY($L8))),2,2),LOOKUP(P8,CurrencyCodes,UnitsPerUSD))"),1.41205)</f>
        <v>1.41205</v>
      </c>
      <c r="R8" s="17">
        <f t="shared" si="3"/>
        <v>269112.2836</v>
      </c>
    </row>
    <row r="9">
      <c r="A9" s="7">
        <v>44008.88623631945</v>
      </c>
      <c r="B9" s="8" t="s">
        <v>18</v>
      </c>
      <c r="C9" s="9">
        <v>91.0</v>
      </c>
      <c r="D9" s="8" t="s">
        <v>55</v>
      </c>
      <c r="E9" s="8" t="s">
        <v>56</v>
      </c>
      <c r="F9" s="8" t="s">
        <v>45</v>
      </c>
      <c r="G9" s="9">
        <v>2700.0</v>
      </c>
      <c r="H9" s="10" t="s">
        <v>38</v>
      </c>
      <c r="I9" s="10" t="s">
        <v>39</v>
      </c>
      <c r="J9" s="11">
        <v>190000.0</v>
      </c>
      <c r="K9" s="10" t="s">
        <v>40</v>
      </c>
      <c r="L9" s="25">
        <v>43970.0</v>
      </c>
      <c r="M9" s="14" t="s">
        <v>57</v>
      </c>
      <c r="N9" s="10"/>
      <c r="O9" s="15">
        <f t="shared" si="1"/>
        <v>2020</v>
      </c>
      <c r="P9" s="16" t="str">
        <f t="shared" si="2"/>
        <v>AUD</v>
      </c>
      <c r="Q9" s="15">
        <f>IFERROR(__xludf.DUMMYFUNCTION("IFNA(INDEX(GOOGLEFINANCE(""Currency:USD""&amp;$P9,""price"",DATE(YEAR($L9),MONTH($L9),DAY($L9))),2,2),LOOKUP(P9,CurrencyCodes,UnitsPerUSD))"),1.528895)</f>
        <v>1.528895</v>
      </c>
      <c r="R9" s="17">
        <f t="shared" si="3"/>
        <v>124272.7591</v>
      </c>
    </row>
    <row r="10">
      <c r="A10" s="7">
        <v>43983.24459758102</v>
      </c>
      <c r="B10" s="18" t="s">
        <v>18</v>
      </c>
      <c r="C10" s="19">
        <v>2.0</v>
      </c>
      <c r="D10" s="18" t="s">
        <v>58</v>
      </c>
      <c r="E10" s="18" t="s">
        <v>59</v>
      </c>
      <c r="F10" s="18" t="s">
        <v>45</v>
      </c>
      <c r="G10" s="9">
        <v>2899.0</v>
      </c>
      <c r="H10" s="21" t="s">
        <v>38</v>
      </c>
      <c r="I10" s="21" t="s">
        <v>24</v>
      </c>
      <c r="J10" s="11">
        <v>0.0</v>
      </c>
      <c r="K10" s="21" t="s">
        <v>40</v>
      </c>
      <c r="L10" s="25">
        <v>43952.0</v>
      </c>
      <c r="M10" s="10"/>
      <c r="N10" s="21" t="s">
        <v>60</v>
      </c>
      <c r="O10" s="15">
        <f t="shared" si="1"/>
        <v>2020</v>
      </c>
      <c r="P10" s="16" t="str">
        <f t="shared" si="2"/>
        <v>AUD</v>
      </c>
      <c r="Q10" s="15">
        <f>IFERROR(__xludf.DUMMYFUNCTION("IFNA(INDEX(GOOGLEFINANCE(""Currency:USD""&amp;$P10,""price"",DATE(YEAR($L10),MONTH($L10),DAY($L10))),2,2),LOOKUP(P10,CurrencyCodes,UnitsPerUSD))"),1.5576)</f>
        <v>1.5576</v>
      </c>
      <c r="R10" s="17">
        <f t="shared" si="3"/>
        <v>0</v>
      </c>
    </row>
    <row r="11">
      <c r="A11" s="7">
        <v>43947.408275567126</v>
      </c>
      <c r="B11" s="8" t="s">
        <v>61</v>
      </c>
      <c r="C11" s="9">
        <v>328.0</v>
      </c>
      <c r="D11" s="8" t="s">
        <v>62</v>
      </c>
      <c r="E11" s="8" t="s">
        <v>63</v>
      </c>
      <c r="F11" s="8" t="s">
        <v>45</v>
      </c>
      <c r="G11" s="9"/>
      <c r="H11" s="10" t="s">
        <v>38</v>
      </c>
      <c r="I11" s="10" t="s">
        <v>39</v>
      </c>
      <c r="J11" s="11">
        <v>1000000.0</v>
      </c>
      <c r="K11" s="10" t="s">
        <v>40</v>
      </c>
      <c r="L11" s="25">
        <v>43004.0</v>
      </c>
      <c r="M11" s="28" t="s">
        <v>64</v>
      </c>
      <c r="N11" s="10" t="s">
        <v>65</v>
      </c>
      <c r="O11" s="15">
        <f t="shared" si="1"/>
        <v>2017</v>
      </c>
      <c r="P11" s="16" t="str">
        <f t="shared" si="2"/>
        <v>AUD</v>
      </c>
      <c r="Q11" s="15">
        <f>IFERROR(__xludf.DUMMYFUNCTION("IFNA(INDEX(GOOGLEFINANCE(""Currency:USD""&amp;$P11,""price"",DATE(YEAR($L11),MONTH($L11),DAY($L11))),2,2),LOOKUP(P11,CurrencyCodes,UnitsPerUSD))"),1.269534)</f>
        <v>1.269534</v>
      </c>
      <c r="R11" s="17">
        <f t="shared" si="3"/>
        <v>787690.6014</v>
      </c>
    </row>
    <row r="12">
      <c r="A12" s="7">
        <v>44015.762839675925</v>
      </c>
      <c r="B12" s="8" t="s">
        <v>18</v>
      </c>
      <c r="C12" s="9">
        <v>103.0</v>
      </c>
      <c r="D12" s="8" t="s">
        <v>66</v>
      </c>
      <c r="E12" s="8" t="s">
        <v>67</v>
      </c>
      <c r="F12" s="8" t="s">
        <v>45</v>
      </c>
      <c r="G12" s="9">
        <v>2324.0</v>
      </c>
      <c r="H12" s="10" t="s">
        <v>38</v>
      </c>
      <c r="I12" s="10" t="s">
        <v>24</v>
      </c>
      <c r="J12" s="11">
        <v>750000.0</v>
      </c>
      <c r="K12" s="10" t="s">
        <v>40</v>
      </c>
      <c r="L12" s="25">
        <v>44013.0</v>
      </c>
      <c r="M12" s="28" t="s">
        <v>68</v>
      </c>
      <c r="N12" s="12" t="s">
        <v>69</v>
      </c>
      <c r="O12" s="15">
        <f t="shared" si="1"/>
        <v>2020</v>
      </c>
      <c r="P12" s="16" t="str">
        <f t="shared" si="2"/>
        <v>AUD</v>
      </c>
      <c r="Q12" s="15">
        <f>IFERROR(__xludf.DUMMYFUNCTION("IFNA(INDEX(GOOGLEFINANCE(""Currency:USD""&amp;$P12,""price"",DATE(YEAR($L12),MONTH($L12),DAY($L12))),2,2),LOOKUP(P12,CurrencyCodes,UnitsPerUSD))"),1.44695)</f>
        <v>1.44695</v>
      </c>
      <c r="R12" s="17">
        <f t="shared" si="3"/>
        <v>518331.6632</v>
      </c>
    </row>
    <row r="13">
      <c r="A13" s="7">
        <v>43901.94148195602</v>
      </c>
      <c r="B13" s="18" t="s">
        <v>18</v>
      </c>
      <c r="C13" s="19" t="s">
        <v>70</v>
      </c>
      <c r="D13" s="18" t="s">
        <v>71</v>
      </c>
      <c r="E13" s="18" t="s">
        <v>72</v>
      </c>
      <c r="F13" s="18" t="s">
        <v>45</v>
      </c>
      <c r="G13" s="19">
        <v>2282.0</v>
      </c>
      <c r="H13" s="21" t="s">
        <v>38</v>
      </c>
      <c r="I13" s="21" t="s">
        <v>39</v>
      </c>
      <c r="J13" s="11">
        <v>1100000.0</v>
      </c>
      <c r="K13" s="21" t="s">
        <v>40</v>
      </c>
      <c r="L13" s="25">
        <v>43564.0</v>
      </c>
      <c r="M13" s="24" t="s">
        <v>73</v>
      </c>
      <c r="N13" s="10" t="s">
        <v>74</v>
      </c>
      <c r="O13" s="15">
        <f t="shared" si="1"/>
        <v>2019</v>
      </c>
      <c r="P13" s="16" t="str">
        <f t="shared" si="2"/>
        <v>AUD</v>
      </c>
      <c r="Q13" s="15">
        <f>IFERROR(__xludf.DUMMYFUNCTION("IFNA(INDEX(GOOGLEFINANCE(""Currency:USD""&amp;$P13,""price"",DATE(YEAR($L13),MONTH($L13),DAY($L13))),2,2),LOOKUP(P13,CurrencyCodes,UnitsPerUSD))"),1.40289)</f>
        <v>1.40289</v>
      </c>
      <c r="R13" s="17">
        <f t="shared" si="3"/>
        <v>784095.6882</v>
      </c>
    </row>
    <row r="14">
      <c r="A14" s="7">
        <v>43905.75558927083</v>
      </c>
      <c r="B14" s="18" t="s">
        <v>18</v>
      </c>
      <c r="C14" s="19">
        <v>8.0</v>
      </c>
      <c r="D14" s="18" t="s">
        <v>75</v>
      </c>
      <c r="E14" s="18" t="s">
        <v>76</v>
      </c>
      <c r="F14" s="18" t="s">
        <v>45</v>
      </c>
      <c r="G14" s="9">
        <v>2256.0</v>
      </c>
      <c r="H14" s="21" t="s">
        <v>38</v>
      </c>
      <c r="I14" s="21" t="s">
        <v>39</v>
      </c>
      <c r="J14" s="11">
        <v>430000.0</v>
      </c>
      <c r="K14" s="21" t="s">
        <v>40</v>
      </c>
      <c r="L14" s="25">
        <v>40848.0</v>
      </c>
      <c r="M14" s="24" t="s">
        <v>77</v>
      </c>
      <c r="N14" s="21" t="s">
        <v>78</v>
      </c>
      <c r="O14" s="15">
        <f t="shared" si="1"/>
        <v>2011</v>
      </c>
      <c r="P14" s="16" t="str">
        <f t="shared" si="2"/>
        <v>AUD</v>
      </c>
      <c r="Q14" s="15">
        <f>IFERROR(__xludf.DUMMYFUNCTION("IFNA(INDEX(GOOGLEFINANCE(""Currency:USD""&amp;$P14,""price"",DATE(YEAR($L14),MONTH($L14),DAY($L14))),2,2),LOOKUP(P14,CurrencyCodes,UnitsPerUSD))"),0.97021441)</f>
        <v>0.97021441</v>
      </c>
      <c r="R14" s="17">
        <f t="shared" si="3"/>
        <v>443201.0034</v>
      </c>
    </row>
    <row r="15">
      <c r="A15" s="7">
        <v>43974.623375763884</v>
      </c>
      <c r="B15" s="8" t="s">
        <v>18</v>
      </c>
      <c r="C15" s="9">
        <v>33.0</v>
      </c>
      <c r="D15" s="8" t="s">
        <v>79</v>
      </c>
      <c r="E15" s="8" t="s">
        <v>80</v>
      </c>
      <c r="F15" s="8" t="s">
        <v>81</v>
      </c>
      <c r="G15" s="9">
        <v>4717.0</v>
      </c>
      <c r="H15" s="10" t="s">
        <v>38</v>
      </c>
      <c r="I15" s="10" t="s">
        <v>24</v>
      </c>
      <c r="J15" s="11">
        <v>180000.0</v>
      </c>
      <c r="K15" s="10" t="s">
        <v>40</v>
      </c>
      <c r="L15" s="25">
        <v>43952.0</v>
      </c>
      <c r="M15" s="28" t="s">
        <v>82</v>
      </c>
      <c r="N15" s="12" t="s">
        <v>83</v>
      </c>
      <c r="O15" s="15">
        <f t="shared" si="1"/>
        <v>2020</v>
      </c>
      <c r="P15" s="16" t="str">
        <f t="shared" si="2"/>
        <v>AUD</v>
      </c>
      <c r="Q15" s="15">
        <f>IFERROR(__xludf.DUMMYFUNCTION("IFNA(INDEX(GOOGLEFINANCE(""Currency:USD""&amp;$P15,""price"",DATE(YEAR($L15),MONTH($L15),DAY($L15))),2,2),LOOKUP(P15,CurrencyCodes,UnitsPerUSD))"),1.5576)</f>
        <v>1.5576</v>
      </c>
      <c r="R15" s="17">
        <f t="shared" si="3"/>
        <v>115562.4037</v>
      </c>
    </row>
    <row r="16">
      <c r="A16" s="7">
        <v>43905.75160231482</v>
      </c>
      <c r="B16" s="8" t="s">
        <v>18</v>
      </c>
      <c r="C16" s="9">
        <v>8.0</v>
      </c>
      <c r="D16" s="8" t="s">
        <v>84</v>
      </c>
      <c r="E16" s="8" t="s">
        <v>85</v>
      </c>
      <c r="F16" s="8" t="s">
        <v>81</v>
      </c>
      <c r="G16" s="9"/>
      <c r="H16" s="10" t="s">
        <v>38</v>
      </c>
      <c r="I16" s="10" t="s">
        <v>39</v>
      </c>
      <c r="J16" s="11">
        <v>1650000.0</v>
      </c>
      <c r="K16" s="10" t="s">
        <v>40</v>
      </c>
      <c r="L16" s="25">
        <v>39934.0</v>
      </c>
      <c r="M16" s="28" t="s">
        <v>86</v>
      </c>
      <c r="N16" s="10" t="s">
        <v>78</v>
      </c>
      <c r="O16" s="15">
        <f t="shared" si="1"/>
        <v>2009</v>
      </c>
      <c r="P16" s="16" t="str">
        <f t="shared" si="2"/>
        <v>AUD</v>
      </c>
      <c r="Q16" s="15">
        <f>IFERROR(__xludf.DUMMYFUNCTION("IFNA(INDEX(GOOGLEFINANCE(""Currency:USD""&amp;$P16,""price"",DATE(YEAR($L16),MONTH($L16),DAY($L16))),2,2),LOOKUP(P16,CurrencyCodes,UnitsPerUSD))"),1.365374)</f>
        <v>1.365374</v>
      </c>
      <c r="R16" s="17">
        <f t="shared" si="3"/>
        <v>1208460.1</v>
      </c>
    </row>
    <row r="17">
      <c r="A17" s="7">
        <v>43901.841756967595</v>
      </c>
      <c r="B17" s="8" t="s">
        <v>18</v>
      </c>
      <c r="C17" s="9">
        <v>456.0</v>
      </c>
      <c r="D17" s="8" t="s">
        <v>87</v>
      </c>
      <c r="E17" s="8" t="s">
        <v>88</v>
      </c>
      <c r="F17" s="8" t="s">
        <v>81</v>
      </c>
      <c r="G17" s="9">
        <v>4152.0</v>
      </c>
      <c r="H17" s="10" t="s">
        <v>38</v>
      </c>
      <c r="I17" s="10" t="s">
        <v>39</v>
      </c>
      <c r="J17" s="11">
        <v>1500000.0</v>
      </c>
      <c r="K17" s="10" t="s">
        <v>40</v>
      </c>
      <c r="L17" s="25">
        <v>43733.0</v>
      </c>
      <c r="M17" s="14" t="s">
        <v>89</v>
      </c>
      <c r="N17" s="10"/>
      <c r="O17" s="15">
        <f t="shared" si="1"/>
        <v>2019</v>
      </c>
      <c r="P17" s="16" t="str">
        <f t="shared" si="2"/>
        <v>AUD</v>
      </c>
      <c r="Q17" s="15">
        <f>IFERROR(__xludf.DUMMYFUNCTION("IFNA(INDEX(GOOGLEFINANCE(""Currency:USD""&amp;$P17,""price"",DATE(YEAR($L17),MONTH($L17),DAY($L17))),2,2),LOOKUP(P17,CurrencyCodes,UnitsPerUSD))"),1.479935)</f>
        <v>1.479935</v>
      </c>
      <c r="R17" s="17">
        <f t="shared" si="3"/>
        <v>1013558.028</v>
      </c>
    </row>
    <row r="18">
      <c r="A18" s="7">
        <v>43897.664551064816</v>
      </c>
      <c r="B18" s="8" t="s">
        <v>18</v>
      </c>
      <c r="C18" s="29" t="s">
        <v>90</v>
      </c>
      <c r="D18" s="8" t="s">
        <v>91</v>
      </c>
      <c r="E18" s="8" t="s">
        <v>92</v>
      </c>
      <c r="F18" s="8" t="s">
        <v>81</v>
      </c>
      <c r="G18" s="9"/>
      <c r="H18" s="10" t="s">
        <v>38</v>
      </c>
      <c r="I18" s="10" t="s">
        <v>39</v>
      </c>
      <c r="J18" s="11">
        <v>880000.0</v>
      </c>
      <c r="K18" s="10" t="s">
        <v>40</v>
      </c>
      <c r="L18" s="25">
        <v>42499.0</v>
      </c>
      <c r="M18" s="14" t="s">
        <v>93</v>
      </c>
      <c r="N18" s="10"/>
      <c r="O18" s="15">
        <f t="shared" si="1"/>
        <v>2016</v>
      </c>
      <c r="P18" s="16" t="str">
        <f t="shared" si="2"/>
        <v>AUD</v>
      </c>
      <c r="Q18" s="15">
        <f>IFERROR(__xludf.DUMMYFUNCTION("IFNA(INDEX(GOOGLEFINANCE(""Currency:USD""&amp;$P18,""price"",DATE(YEAR($L18),MONTH($L18),DAY($L18))),2,2),LOOKUP(P18,CurrencyCodes,UnitsPerUSD))"),1.367427)</f>
        <v>1.367427</v>
      </c>
      <c r="R18" s="17">
        <f t="shared" si="3"/>
        <v>643544.4086</v>
      </c>
    </row>
    <row r="19">
      <c r="A19" s="7">
        <v>43901.83123921296</v>
      </c>
      <c r="B19" s="8" t="s">
        <v>18</v>
      </c>
      <c r="C19" s="9">
        <v>68.0</v>
      </c>
      <c r="D19" s="8" t="s">
        <v>94</v>
      </c>
      <c r="E19" s="8" t="s">
        <v>95</v>
      </c>
      <c r="F19" s="8" t="s">
        <v>81</v>
      </c>
      <c r="G19" s="9">
        <v>4114.0</v>
      </c>
      <c r="H19" s="10" t="s">
        <v>38</v>
      </c>
      <c r="I19" s="10" t="s">
        <v>39</v>
      </c>
      <c r="J19" s="11">
        <v>495000.0</v>
      </c>
      <c r="K19" s="10" t="s">
        <v>40</v>
      </c>
      <c r="L19" s="25">
        <v>42293.0</v>
      </c>
      <c r="M19" s="14" t="s">
        <v>96</v>
      </c>
      <c r="N19" s="10"/>
      <c r="O19" s="15">
        <f t="shared" si="1"/>
        <v>2015</v>
      </c>
      <c r="P19" s="16" t="str">
        <f t="shared" si="2"/>
        <v>AUD</v>
      </c>
      <c r="Q19" s="15">
        <f>IFERROR(__xludf.DUMMYFUNCTION("IFNA(INDEX(GOOGLEFINANCE(""Currency:USD""&amp;$P19,""price"",DATE(YEAR($L19),MONTH($L19),DAY($L19))),2,2),LOOKUP(P19,CurrencyCodes,UnitsPerUSD))"),1.377391)</f>
        <v>1.377391</v>
      </c>
      <c r="R19" s="17">
        <f t="shared" si="3"/>
        <v>359375.0794</v>
      </c>
    </row>
    <row r="20">
      <c r="A20" s="7">
        <v>44001.29250802084</v>
      </c>
      <c r="B20" s="18" t="s">
        <v>61</v>
      </c>
      <c r="C20" s="9">
        <v>42.0</v>
      </c>
      <c r="D20" s="8" t="s">
        <v>97</v>
      </c>
      <c r="E20" s="18" t="s">
        <v>98</v>
      </c>
      <c r="F20" s="8" t="s">
        <v>81</v>
      </c>
      <c r="G20" s="9">
        <v>4551.0</v>
      </c>
      <c r="H20" s="21" t="s">
        <v>38</v>
      </c>
      <c r="I20" s="21" t="s">
        <v>39</v>
      </c>
      <c r="J20" s="11">
        <v>575000.0</v>
      </c>
      <c r="K20" s="21" t="s">
        <v>40</v>
      </c>
      <c r="L20" s="25">
        <v>42917.0</v>
      </c>
      <c r="M20" s="28" t="s">
        <v>99</v>
      </c>
      <c r="N20" s="27" t="s">
        <v>100</v>
      </c>
      <c r="O20" s="15">
        <f t="shared" si="1"/>
        <v>2017</v>
      </c>
      <c r="P20" s="16" t="str">
        <f t="shared" si="2"/>
        <v>AUD</v>
      </c>
      <c r="Q20" s="15">
        <f>IFERROR(__xludf.DUMMYFUNCTION("IFNA(INDEX(GOOGLEFINANCE(""Currency:USD""&amp;$P20,""price"",DATE(YEAR($L20),MONTH($L20),DAY($L20))),2,2),LOOKUP(P20,CurrencyCodes,UnitsPerUSD))"),1.300728)</f>
        <v>1.300728</v>
      </c>
      <c r="R20" s="17">
        <f t="shared" si="3"/>
        <v>442060.1386</v>
      </c>
    </row>
    <row r="21">
      <c r="A21" s="7">
        <v>43901.83901915509</v>
      </c>
      <c r="B21" s="8" t="s">
        <v>18</v>
      </c>
      <c r="C21" s="9">
        <v>30.0</v>
      </c>
      <c r="D21" s="8" t="s">
        <v>101</v>
      </c>
      <c r="E21" s="8" t="s">
        <v>102</v>
      </c>
      <c r="F21" s="8" t="s">
        <v>81</v>
      </c>
      <c r="G21" s="9">
        <v>4415.0</v>
      </c>
      <c r="H21" s="10" t="s">
        <v>38</v>
      </c>
      <c r="I21" s="10" t="s">
        <v>39</v>
      </c>
      <c r="J21" s="11">
        <v>105000.0</v>
      </c>
      <c r="K21" s="10" t="s">
        <v>40</v>
      </c>
      <c r="L21" s="25">
        <v>42607.0</v>
      </c>
      <c r="M21" s="14" t="s">
        <v>103</v>
      </c>
      <c r="N21" s="10"/>
      <c r="O21" s="15">
        <f t="shared" si="1"/>
        <v>2016</v>
      </c>
      <c r="P21" s="16" t="str">
        <f t="shared" si="2"/>
        <v>AUD</v>
      </c>
      <c r="Q21" s="15">
        <f>IFERROR(__xludf.DUMMYFUNCTION("IFNA(INDEX(GOOGLEFINANCE(""Currency:USD""&amp;$P21,""price"",DATE(YEAR($L21),MONTH($L21),DAY($L21))),2,2),LOOKUP(P21,CurrencyCodes,UnitsPerUSD))"),1.311785)</f>
        <v>1.311785</v>
      </c>
      <c r="R21" s="17">
        <f t="shared" si="3"/>
        <v>80043.60471</v>
      </c>
    </row>
    <row r="22">
      <c r="A22" s="7">
        <v>44008.88578722222</v>
      </c>
      <c r="B22" s="8" t="s">
        <v>18</v>
      </c>
      <c r="C22" s="9">
        <v>271.0</v>
      </c>
      <c r="D22" s="8" t="s">
        <v>104</v>
      </c>
      <c r="E22" s="8" t="s">
        <v>105</v>
      </c>
      <c r="F22" s="8" t="s">
        <v>81</v>
      </c>
      <c r="G22" s="9">
        <v>4800.0</v>
      </c>
      <c r="H22" s="10" t="s">
        <v>38</v>
      </c>
      <c r="I22" s="10" t="s">
        <v>39</v>
      </c>
      <c r="J22" s="11">
        <v>338000.0</v>
      </c>
      <c r="K22" s="10" t="s">
        <v>40</v>
      </c>
      <c r="L22" s="25">
        <v>43388.0</v>
      </c>
      <c r="M22" s="14" t="s">
        <v>106</v>
      </c>
      <c r="N22" s="10"/>
      <c r="O22" s="15">
        <f t="shared" si="1"/>
        <v>2018</v>
      </c>
      <c r="P22" s="16" t="str">
        <f t="shared" si="2"/>
        <v>AUD</v>
      </c>
      <c r="Q22" s="15">
        <f>IFERROR(__xludf.DUMMYFUNCTION("IFNA(INDEX(GOOGLEFINANCE(""Currency:USD""&amp;$P22,""price"",DATE(YEAR($L22),MONTH($L22),DAY($L22))),2,2),LOOKUP(P22,CurrencyCodes,UnitsPerUSD))"),1.4016)</f>
        <v>1.4016</v>
      </c>
      <c r="R22" s="17">
        <f t="shared" si="3"/>
        <v>241152.968</v>
      </c>
    </row>
    <row r="23">
      <c r="A23" s="7">
        <v>44083.44910913194</v>
      </c>
      <c r="B23" s="8" t="s">
        <v>18</v>
      </c>
      <c r="C23" s="30">
        <v>44179.0</v>
      </c>
      <c r="D23" s="8" t="s">
        <v>107</v>
      </c>
      <c r="E23" s="8" t="s">
        <v>108</v>
      </c>
      <c r="F23" s="8" t="s">
        <v>81</v>
      </c>
      <c r="G23" s="9">
        <v>4421.0</v>
      </c>
      <c r="H23" s="10" t="s">
        <v>38</v>
      </c>
      <c r="I23" s="10" t="s">
        <v>24</v>
      </c>
      <c r="J23" s="11">
        <v>0.0</v>
      </c>
      <c r="K23" s="10" t="s">
        <v>40</v>
      </c>
      <c r="L23" s="25">
        <v>44043.0</v>
      </c>
      <c r="M23" s="10"/>
      <c r="N23" s="10"/>
      <c r="O23" s="15">
        <f t="shared" si="1"/>
        <v>2020</v>
      </c>
      <c r="P23" s="16" t="str">
        <f t="shared" si="2"/>
        <v>AUD</v>
      </c>
      <c r="Q23" s="15">
        <f>IFERROR(__xludf.DUMMYFUNCTION("IFNA(INDEX(GOOGLEFINANCE(""Currency:USD""&amp;$P23,""price"",DATE(YEAR($L23),MONTH($L23),DAY($L23))),2,2),LOOKUP(P23,CurrencyCodes,UnitsPerUSD))"),1.399805)</f>
        <v>1.399805</v>
      </c>
      <c r="R23" s="17">
        <f t="shared" si="3"/>
        <v>0</v>
      </c>
    </row>
    <row r="24">
      <c r="A24" s="7">
        <v>43897.71026898148</v>
      </c>
      <c r="B24" s="8" t="s">
        <v>18</v>
      </c>
      <c r="C24" s="9">
        <v>8.0</v>
      </c>
      <c r="D24" s="8" t="s">
        <v>109</v>
      </c>
      <c r="E24" s="8" t="s">
        <v>110</v>
      </c>
      <c r="F24" s="8" t="s">
        <v>111</v>
      </c>
      <c r="G24" s="9"/>
      <c r="H24" s="10" t="s">
        <v>38</v>
      </c>
      <c r="I24" s="10" t="s">
        <v>39</v>
      </c>
      <c r="J24" s="11">
        <v>936100.0</v>
      </c>
      <c r="K24" s="10" t="s">
        <v>40</v>
      </c>
      <c r="L24" s="25">
        <v>42227.0</v>
      </c>
      <c r="M24" s="14" t="s">
        <v>112</v>
      </c>
      <c r="N24" s="10"/>
      <c r="O24" s="15">
        <f t="shared" si="1"/>
        <v>2015</v>
      </c>
      <c r="P24" s="16" t="str">
        <f t="shared" si="2"/>
        <v>AUD</v>
      </c>
      <c r="Q24" s="15">
        <f>IFERROR(__xludf.DUMMYFUNCTION("IFNA(INDEX(GOOGLEFINANCE(""Currency:USD""&amp;$P24,""price"",DATE(YEAR($L24),MONTH($L24),DAY($L24))),2,2),LOOKUP(P24,CurrencyCodes,UnitsPerUSD))"),1.368176)</f>
        <v>1.368176</v>
      </c>
      <c r="R24" s="17">
        <f t="shared" si="3"/>
        <v>684195.6006</v>
      </c>
    </row>
    <row r="25">
      <c r="A25" s="7">
        <v>44001.25157729167</v>
      </c>
      <c r="B25" s="8" t="s">
        <v>18</v>
      </c>
      <c r="C25" s="9">
        <v>211.0</v>
      </c>
      <c r="D25" s="8" t="s">
        <v>113</v>
      </c>
      <c r="E25" s="8" t="s">
        <v>114</v>
      </c>
      <c r="F25" s="8" t="s">
        <v>111</v>
      </c>
      <c r="G25" s="9"/>
      <c r="H25" s="10" t="s">
        <v>38</v>
      </c>
      <c r="I25" s="10" t="s">
        <v>39</v>
      </c>
      <c r="J25" s="11">
        <v>1265000.0</v>
      </c>
      <c r="K25" s="10" t="s">
        <v>40</v>
      </c>
      <c r="L25" s="25">
        <v>42654.0</v>
      </c>
      <c r="M25" s="14" t="s">
        <v>115</v>
      </c>
      <c r="N25" s="10"/>
      <c r="O25" s="15">
        <f t="shared" si="1"/>
        <v>2016</v>
      </c>
      <c r="P25" s="16" t="str">
        <f t="shared" si="2"/>
        <v>AUD</v>
      </c>
      <c r="Q25" s="15">
        <f>IFERROR(__xludf.DUMMYFUNCTION("IFNA(INDEX(GOOGLEFINANCE(""Currency:USD""&amp;$P25,""price"",DATE(YEAR($L25),MONTH($L25),DAY($L25))),2,2),LOOKUP(P25,CurrencyCodes,UnitsPerUSD))"),1.322453)</f>
        <v>1.322453</v>
      </c>
      <c r="R25" s="17">
        <f t="shared" si="3"/>
        <v>956555.7339</v>
      </c>
    </row>
    <row r="26">
      <c r="A26" s="7">
        <v>44001.26799818287</v>
      </c>
      <c r="B26" s="8" t="s">
        <v>18</v>
      </c>
      <c r="C26" s="9"/>
      <c r="D26" s="8" t="s">
        <v>116</v>
      </c>
      <c r="E26" s="8" t="s">
        <v>117</v>
      </c>
      <c r="F26" s="8" t="s">
        <v>111</v>
      </c>
      <c r="G26" s="9">
        <v>5125.0</v>
      </c>
      <c r="H26" s="10" t="s">
        <v>38</v>
      </c>
      <c r="I26" s="10" t="s">
        <v>24</v>
      </c>
      <c r="J26" s="11">
        <v>1795000.0</v>
      </c>
      <c r="K26" s="10" t="s">
        <v>40</v>
      </c>
      <c r="L26" s="25">
        <v>43970.0</v>
      </c>
      <c r="M26" s="14" t="s">
        <v>118</v>
      </c>
      <c r="N26" s="10"/>
      <c r="O26" s="15">
        <f t="shared" si="1"/>
        <v>2020</v>
      </c>
      <c r="P26" s="16" t="str">
        <f t="shared" si="2"/>
        <v>AUD</v>
      </c>
      <c r="Q26" s="15">
        <f>IFERROR(__xludf.DUMMYFUNCTION("IFNA(INDEX(GOOGLEFINANCE(""Currency:USD""&amp;$P26,""price"",DATE(YEAR($L26),MONTH($L26),DAY($L26))),2,2),LOOKUP(P26,CurrencyCodes,UnitsPerUSD))"),1.528895)</f>
        <v>1.528895</v>
      </c>
      <c r="R26" s="17">
        <f t="shared" si="3"/>
        <v>1174050.54</v>
      </c>
    </row>
    <row r="27">
      <c r="A27" s="7">
        <v>43905.6932174074</v>
      </c>
      <c r="B27" s="8" t="s">
        <v>18</v>
      </c>
      <c r="C27" s="9">
        <v>53.0</v>
      </c>
      <c r="D27" s="8" t="s">
        <v>119</v>
      </c>
      <c r="E27" s="8" t="s">
        <v>120</v>
      </c>
      <c r="F27" s="8" t="s">
        <v>111</v>
      </c>
      <c r="G27" s="9">
        <v>5241.0</v>
      </c>
      <c r="H27" s="10" t="s">
        <v>38</v>
      </c>
      <c r="I27" s="10" t="s">
        <v>39</v>
      </c>
      <c r="J27" s="11">
        <v>935000.0</v>
      </c>
      <c r="K27" s="10" t="s">
        <v>40</v>
      </c>
      <c r="L27" s="25">
        <v>42307.0</v>
      </c>
      <c r="M27" s="14" t="s">
        <v>121</v>
      </c>
      <c r="N27" s="10"/>
      <c r="O27" s="15">
        <f t="shared" si="1"/>
        <v>2015</v>
      </c>
      <c r="P27" s="16" t="str">
        <f t="shared" si="2"/>
        <v>AUD</v>
      </c>
      <c r="Q27" s="15">
        <f>IFERROR(__xludf.DUMMYFUNCTION("IFNA(INDEX(GOOGLEFINANCE(""Currency:USD""&amp;$P27,""price"",DATE(YEAR($L27),MONTH($L27),DAY($L27))),2,2),LOOKUP(P27,CurrencyCodes,UnitsPerUSD))"),1.401875)</f>
        <v>1.401875</v>
      </c>
      <c r="R27" s="17">
        <f t="shared" si="3"/>
        <v>666963.8877</v>
      </c>
    </row>
    <row r="28">
      <c r="A28" s="7">
        <v>43963.847682962965</v>
      </c>
      <c r="B28" s="18" t="s">
        <v>18</v>
      </c>
      <c r="C28" s="19">
        <v>62.0</v>
      </c>
      <c r="D28" s="18" t="s">
        <v>122</v>
      </c>
      <c r="E28" s="18" t="s">
        <v>123</v>
      </c>
      <c r="F28" s="18" t="s">
        <v>111</v>
      </c>
      <c r="G28" s="9">
        <v>5540.0</v>
      </c>
      <c r="H28" s="21" t="s">
        <v>38</v>
      </c>
      <c r="I28" s="21" t="s">
        <v>39</v>
      </c>
      <c r="J28" s="11">
        <v>275000.0</v>
      </c>
      <c r="K28" s="21" t="s">
        <v>40</v>
      </c>
      <c r="L28" s="25">
        <v>43936.0</v>
      </c>
      <c r="M28" s="24" t="s">
        <v>124</v>
      </c>
      <c r="N28" s="27" t="s">
        <v>125</v>
      </c>
      <c r="O28" s="15">
        <f t="shared" si="1"/>
        <v>2020</v>
      </c>
      <c r="P28" s="16" t="str">
        <f t="shared" si="2"/>
        <v>AUD</v>
      </c>
      <c r="Q28" s="15">
        <f>IFERROR(__xludf.DUMMYFUNCTION("IFNA(INDEX(GOOGLEFINANCE(""Currency:USD""&amp;$P28,""price"",DATE(YEAR($L28),MONTH($L28),DAY($L28))),2,2),LOOKUP(P28,CurrencyCodes,UnitsPerUSD))"),1.5851)</f>
        <v>1.5851</v>
      </c>
      <c r="R28" s="17">
        <f t="shared" si="3"/>
        <v>173490.6315</v>
      </c>
    </row>
    <row r="29">
      <c r="A29" s="7">
        <v>44001.25993591435</v>
      </c>
      <c r="B29" s="8" t="s">
        <v>18</v>
      </c>
      <c r="C29" s="9">
        <v>10.0</v>
      </c>
      <c r="D29" s="8" t="s">
        <v>126</v>
      </c>
      <c r="E29" s="8" t="s">
        <v>127</v>
      </c>
      <c r="F29" s="8" t="s">
        <v>128</v>
      </c>
      <c r="G29" s="9">
        <v>7030.0</v>
      </c>
      <c r="H29" s="10" t="s">
        <v>38</v>
      </c>
      <c r="I29" s="10" t="s">
        <v>39</v>
      </c>
      <c r="J29" s="11">
        <v>565000.0</v>
      </c>
      <c r="K29" s="10" t="s">
        <v>40</v>
      </c>
      <c r="L29" s="25">
        <v>43070.0</v>
      </c>
      <c r="M29" s="28" t="s">
        <v>129</v>
      </c>
      <c r="N29" s="12" t="s">
        <v>130</v>
      </c>
      <c r="O29" s="15">
        <f t="shared" si="1"/>
        <v>2017</v>
      </c>
      <c r="P29" s="16" t="str">
        <f t="shared" si="2"/>
        <v>AUD</v>
      </c>
      <c r="Q29" s="15">
        <f>IFERROR(__xludf.DUMMYFUNCTION("IFNA(INDEX(GOOGLEFINANCE(""Currency:USD""&amp;$P29,""price"",DATE(YEAR($L29),MONTH($L29),DAY($L29))),2,2),LOOKUP(P29,CurrencyCodes,UnitsPerUSD))"),1.314405)</f>
        <v>1.314405</v>
      </c>
      <c r="R29" s="17">
        <f t="shared" si="3"/>
        <v>429852.2906</v>
      </c>
    </row>
    <row r="30">
      <c r="A30" s="7">
        <v>43901.944630937505</v>
      </c>
      <c r="B30" s="18" t="s">
        <v>18</v>
      </c>
      <c r="C30" s="19">
        <v>64.0</v>
      </c>
      <c r="D30" s="18" t="s">
        <v>131</v>
      </c>
      <c r="E30" s="18" t="s">
        <v>132</v>
      </c>
      <c r="F30" s="18" t="s">
        <v>128</v>
      </c>
      <c r="G30" s="19">
        <v>7190.0</v>
      </c>
      <c r="H30" s="21" t="s">
        <v>38</v>
      </c>
      <c r="I30" s="21" t="s">
        <v>24</v>
      </c>
      <c r="J30" s="11">
        <v>355000.0</v>
      </c>
      <c r="K30" s="21" t="s">
        <v>40</v>
      </c>
      <c r="L30" s="22"/>
      <c r="M30" s="31" t="s">
        <v>133</v>
      </c>
      <c r="N30" s="21"/>
      <c r="O30" s="15" t="str">
        <f t="shared" si="1"/>
        <v>Unknown</v>
      </c>
      <c r="P30" s="16" t="str">
        <f t="shared" si="2"/>
        <v>AUD</v>
      </c>
      <c r="Q30" s="15">
        <f>IFERROR(__xludf.DUMMYFUNCTION("IFNA(INDEX(GOOGLEFINANCE(""Currency:USD""&amp;$P30,""price"",DATE(YEAR($L30),MONTH($L30),DAY($L30))),2,2),LOOKUP(P30,CurrencyCodes,UnitsPerUSD))"),1.6180336841)</f>
        <v>1.618033684</v>
      </c>
      <c r="R30" s="17">
        <f t="shared" si="3"/>
        <v>219402.1073</v>
      </c>
    </row>
    <row r="31">
      <c r="A31" s="7">
        <v>43901.934961770836</v>
      </c>
      <c r="B31" s="18" t="s">
        <v>18</v>
      </c>
      <c r="C31" s="19">
        <v>22.0</v>
      </c>
      <c r="D31" s="18" t="s">
        <v>134</v>
      </c>
      <c r="E31" s="18" t="s">
        <v>135</v>
      </c>
      <c r="F31" s="8" t="s">
        <v>128</v>
      </c>
      <c r="G31" s="19">
        <v>7315.0</v>
      </c>
      <c r="H31" s="21" t="s">
        <v>38</v>
      </c>
      <c r="I31" s="21" t="s">
        <v>39</v>
      </c>
      <c r="J31" s="11">
        <v>550000.0</v>
      </c>
      <c r="K31" s="21" t="s">
        <v>40</v>
      </c>
      <c r="L31" s="25">
        <v>43617.0</v>
      </c>
      <c r="M31" s="24" t="s">
        <v>136</v>
      </c>
      <c r="N31" s="21" t="s">
        <v>137</v>
      </c>
      <c r="O31" s="15">
        <f t="shared" si="1"/>
        <v>2019</v>
      </c>
      <c r="P31" s="16" t="str">
        <f t="shared" si="2"/>
        <v>AUD</v>
      </c>
      <c r="Q31" s="15">
        <f>IFERROR(__xludf.DUMMYFUNCTION("IFNA(INDEX(GOOGLEFINANCE(""Currency:USD""&amp;$P31,""price"",DATE(YEAR($L31),MONTH($L31),DAY($L31))),2,2),LOOKUP(P31,CurrencyCodes,UnitsPerUSD))"),1.4405)</f>
        <v>1.4405</v>
      </c>
      <c r="R31" s="17">
        <f t="shared" si="3"/>
        <v>381811.8709</v>
      </c>
    </row>
    <row r="32">
      <c r="A32" s="7">
        <v>43901.825242708335</v>
      </c>
      <c r="B32" s="8" t="s">
        <v>18</v>
      </c>
      <c r="C32" s="9">
        <v>192.0</v>
      </c>
      <c r="D32" s="8" t="s">
        <v>138</v>
      </c>
      <c r="E32" s="8" t="s">
        <v>139</v>
      </c>
      <c r="F32" s="8" t="s">
        <v>140</v>
      </c>
      <c r="G32" s="9">
        <v>3195.0</v>
      </c>
      <c r="H32" s="10" t="s">
        <v>38</v>
      </c>
      <c r="I32" s="10" t="s">
        <v>39</v>
      </c>
      <c r="J32" s="11">
        <v>1570000.0</v>
      </c>
      <c r="K32" s="10" t="s">
        <v>40</v>
      </c>
      <c r="L32" s="25">
        <v>43466.0</v>
      </c>
      <c r="M32" s="14" t="s">
        <v>141</v>
      </c>
      <c r="N32" s="10"/>
      <c r="O32" s="15">
        <f t="shared" si="1"/>
        <v>2019</v>
      </c>
      <c r="P32" s="16" t="str">
        <f t="shared" si="2"/>
        <v>AUD</v>
      </c>
      <c r="Q32" s="15">
        <f>IFERROR(__xludf.DUMMYFUNCTION("IFNA(INDEX(GOOGLEFINANCE(""Currency:USD""&amp;$P32,""price"",DATE(YEAR($L32),MONTH($L32),DAY($L32))),2,2),LOOKUP(P32,CurrencyCodes,UnitsPerUSD))"),1.41893)</f>
        <v>1.41893</v>
      </c>
      <c r="R32" s="17">
        <f t="shared" si="3"/>
        <v>1106467.549</v>
      </c>
    </row>
    <row r="33">
      <c r="A33" s="7">
        <v>44036.839872488425</v>
      </c>
      <c r="B33" s="8" t="s">
        <v>18</v>
      </c>
      <c r="C33" s="9">
        <v>72.0</v>
      </c>
      <c r="D33" s="8" t="s">
        <v>142</v>
      </c>
      <c r="E33" s="8" t="s">
        <v>143</v>
      </c>
      <c r="F33" s="8" t="s">
        <v>140</v>
      </c>
      <c r="G33" s="9">
        <v>3131.0</v>
      </c>
      <c r="H33" s="10" t="s">
        <v>38</v>
      </c>
      <c r="I33" s="10" t="s">
        <v>39</v>
      </c>
      <c r="J33" s="11">
        <v>1210000.0</v>
      </c>
      <c r="K33" s="10" t="s">
        <v>40</v>
      </c>
      <c r="L33" s="25">
        <v>41155.0</v>
      </c>
      <c r="M33" s="28" t="s">
        <v>144</v>
      </c>
      <c r="N33" s="10" t="s">
        <v>145</v>
      </c>
      <c r="O33" s="15">
        <f t="shared" si="1"/>
        <v>2012</v>
      </c>
      <c r="P33" s="16" t="str">
        <f t="shared" si="2"/>
        <v>AUD</v>
      </c>
      <c r="Q33" s="15">
        <f>IFERROR(__xludf.DUMMYFUNCTION("IFNA(INDEX(GOOGLEFINANCE(""Currency:USD""&amp;$P33,""price"",DATE(YEAR($L33),MONTH($L33),DAY($L33))),2,2),LOOKUP(P33,CurrencyCodes,UnitsPerUSD))"),0.97599063)</f>
        <v>0.97599063</v>
      </c>
      <c r="R33" s="17">
        <f t="shared" si="3"/>
        <v>1239766.001</v>
      </c>
    </row>
    <row r="34">
      <c r="A34" s="7">
        <v>43901.845731215275</v>
      </c>
      <c r="B34" s="8" t="s">
        <v>18</v>
      </c>
      <c r="C34" s="9" t="s">
        <v>146</v>
      </c>
      <c r="D34" s="8" t="s">
        <v>147</v>
      </c>
      <c r="E34" s="8" t="s">
        <v>148</v>
      </c>
      <c r="F34" s="8" t="s">
        <v>140</v>
      </c>
      <c r="G34" s="9">
        <v>3172.0</v>
      </c>
      <c r="H34" s="10" t="s">
        <v>38</v>
      </c>
      <c r="I34" s="10" t="s">
        <v>39</v>
      </c>
      <c r="J34" s="11">
        <v>1468500.0</v>
      </c>
      <c r="K34" s="10" t="s">
        <v>40</v>
      </c>
      <c r="L34" s="25">
        <v>42917.0</v>
      </c>
      <c r="M34" s="14" t="s">
        <v>149</v>
      </c>
      <c r="N34" s="10"/>
      <c r="O34" s="15">
        <f t="shared" si="1"/>
        <v>2017</v>
      </c>
      <c r="P34" s="16" t="str">
        <f t="shared" si="2"/>
        <v>AUD</v>
      </c>
      <c r="Q34" s="15">
        <f>IFERROR(__xludf.DUMMYFUNCTION("IFNA(INDEX(GOOGLEFINANCE(""Currency:USD""&amp;$P34,""price"",DATE(YEAR($L34),MONTH($L34),DAY($L34))),2,2),LOOKUP(P34,CurrencyCodes,UnitsPerUSD))"),1.300728)</f>
        <v>1.300728</v>
      </c>
      <c r="R34" s="17">
        <f t="shared" si="3"/>
        <v>1128983.154</v>
      </c>
    </row>
    <row r="35">
      <c r="A35" s="7">
        <v>43933.89197888889</v>
      </c>
      <c r="B35" s="18" t="s">
        <v>18</v>
      </c>
      <c r="C35" s="19">
        <v>40.0</v>
      </c>
      <c r="D35" s="18" t="s">
        <v>150</v>
      </c>
      <c r="E35" s="18" t="s">
        <v>151</v>
      </c>
      <c r="F35" s="18" t="s">
        <v>152</v>
      </c>
      <c r="G35" s="19">
        <v>3084.0</v>
      </c>
      <c r="H35" s="21" t="s">
        <v>38</v>
      </c>
      <c r="I35" s="21" t="s">
        <v>39</v>
      </c>
      <c r="J35" s="11">
        <v>0.0</v>
      </c>
      <c r="K35" s="21" t="s">
        <v>40</v>
      </c>
      <c r="L35" s="22"/>
      <c r="M35" s="21"/>
      <c r="N35" s="27" t="s">
        <v>153</v>
      </c>
      <c r="O35" s="15" t="str">
        <f t="shared" si="1"/>
        <v>Unknown</v>
      </c>
      <c r="P35" s="16" t="str">
        <f t="shared" si="2"/>
        <v>AUD</v>
      </c>
      <c r="Q35" s="15">
        <f>IFERROR(__xludf.DUMMYFUNCTION("IFNA(INDEX(GOOGLEFINANCE(""Currency:USD""&amp;$P35,""price"",DATE(YEAR($L35),MONTH($L35),DAY($L35))),2,2),LOOKUP(P35,CurrencyCodes,UnitsPerUSD))"),1.6180336841)</f>
        <v>1.618033684</v>
      </c>
      <c r="R35" s="17">
        <f t="shared" si="3"/>
        <v>0</v>
      </c>
    </row>
    <row r="36">
      <c r="A36" s="7">
        <v>44001.26356943287</v>
      </c>
      <c r="B36" s="8" t="s">
        <v>18</v>
      </c>
      <c r="C36" s="9">
        <v>13.0</v>
      </c>
      <c r="D36" s="8" t="s">
        <v>154</v>
      </c>
      <c r="E36" s="8" t="s">
        <v>155</v>
      </c>
      <c r="F36" s="8" t="s">
        <v>156</v>
      </c>
      <c r="G36" s="9">
        <v>6061.0</v>
      </c>
      <c r="H36" s="10" t="s">
        <v>38</v>
      </c>
      <c r="I36" s="10" t="s">
        <v>39</v>
      </c>
      <c r="J36" s="11">
        <v>3300000.0</v>
      </c>
      <c r="K36" s="10" t="s">
        <v>40</v>
      </c>
      <c r="L36" s="25">
        <v>43556.0</v>
      </c>
      <c r="M36" s="14" t="s">
        <v>157</v>
      </c>
      <c r="N36" s="10"/>
      <c r="O36" s="15">
        <f t="shared" si="1"/>
        <v>2019</v>
      </c>
      <c r="P36" s="16" t="str">
        <f t="shared" si="2"/>
        <v>AUD</v>
      </c>
      <c r="Q36" s="15">
        <f>IFERROR(__xludf.DUMMYFUNCTION("IFNA(INDEX(GOOGLEFINANCE(""Currency:USD""&amp;$P36,""price"",DATE(YEAR($L36),MONTH($L36),DAY($L36))),2,2),LOOKUP(P36,CurrencyCodes,UnitsPerUSD))"),1.4065)</f>
        <v>1.4065</v>
      </c>
      <c r="R36" s="17">
        <f t="shared" si="3"/>
        <v>2346249.556</v>
      </c>
    </row>
    <row r="37">
      <c r="A37" s="7">
        <v>44013.566072118054</v>
      </c>
      <c r="B37" s="8" t="s">
        <v>61</v>
      </c>
      <c r="C37" s="9">
        <v>13.0</v>
      </c>
      <c r="D37" s="8" t="s">
        <v>158</v>
      </c>
      <c r="E37" s="8" t="s">
        <v>159</v>
      </c>
      <c r="F37" s="8" t="s">
        <v>156</v>
      </c>
      <c r="G37" s="9">
        <v>6728.0</v>
      </c>
      <c r="H37" s="10" t="s">
        <v>38</v>
      </c>
      <c r="I37" s="10" t="s">
        <v>39</v>
      </c>
      <c r="J37" s="11">
        <v>675000.0</v>
      </c>
      <c r="K37" s="10" t="s">
        <v>40</v>
      </c>
      <c r="L37" s="25">
        <v>39295.0</v>
      </c>
      <c r="M37" s="28" t="s">
        <v>160</v>
      </c>
      <c r="N37" s="12" t="s">
        <v>161</v>
      </c>
      <c r="O37" s="15">
        <f t="shared" si="1"/>
        <v>2007</v>
      </c>
      <c r="P37" s="16" t="str">
        <f t="shared" si="2"/>
        <v>AUD</v>
      </c>
      <c r="Q37" s="15">
        <f>IFERROR(__xludf.DUMMYFUNCTION("IFNA(INDEX(GOOGLEFINANCE(""Currency:USD""&amp;$P37,""price"",DATE(YEAR($L37),MONTH($L37),DAY($L37))),2,2),LOOKUP(P37,CurrencyCodes,UnitsPerUSD))"),1.170411)</f>
        <v>1.170411</v>
      </c>
      <c r="R37" s="17">
        <f t="shared" si="3"/>
        <v>576720.4854</v>
      </c>
    </row>
    <row r="38">
      <c r="A38" s="7">
        <v>43898.51789853009</v>
      </c>
      <c r="B38" s="8" t="s">
        <v>18</v>
      </c>
      <c r="C38" s="9" t="s">
        <v>162</v>
      </c>
      <c r="D38" s="8" t="s">
        <v>163</v>
      </c>
      <c r="E38" s="8" t="s">
        <v>164</v>
      </c>
      <c r="F38" s="8" t="s">
        <v>156</v>
      </c>
      <c r="G38" s="9"/>
      <c r="H38" s="10" t="s">
        <v>38</v>
      </c>
      <c r="I38" s="10" t="s">
        <v>39</v>
      </c>
      <c r="J38" s="11">
        <v>0.0</v>
      </c>
      <c r="K38" s="10" t="s">
        <v>40</v>
      </c>
      <c r="L38" s="25">
        <v>43160.0</v>
      </c>
      <c r="M38" s="28" t="s">
        <v>165</v>
      </c>
      <c r="N38" s="12" t="s">
        <v>166</v>
      </c>
      <c r="O38" s="15">
        <f t="shared" si="1"/>
        <v>2018</v>
      </c>
      <c r="P38" s="16" t="str">
        <f t="shared" si="2"/>
        <v>AUD</v>
      </c>
      <c r="Q38" s="15">
        <f>IFERROR(__xludf.DUMMYFUNCTION("IFNA(INDEX(GOOGLEFINANCE(""Currency:USD""&amp;$P38,""price"",DATE(YEAR($L38),MONTH($L38),DAY($L38))),2,2),LOOKUP(P38,CurrencyCodes,UnitsPerUSD))"),1.288311)</f>
        <v>1.288311</v>
      </c>
      <c r="R38" s="17">
        <f t="shared" si="3"/>
        <v>0</v>
      </c>
    </row>
    <row r="39">
      <c r="A39" s="7">
        <v>43901.81152883102</v>
      </c>
      <c r="B39" s="18" t="s">
        <v>18</v>
      </c>
      <c r="C39" s="32" t="s">
        <v>167</v>
      </c>
      <c r="D39" s="18" t="s">
        <v>168</v>
      </c>
      <c r="E39" s="18" t="s">
        <v>169</v>
      </c>
      <c r="F39" s="18" t="s">
        <v>156</v>
      </c>
      <c r="G39" s="9">
        <v>6062.0</v>
      </c>
      <c r="H39" s="21" t="s">
        <v>38</v>
      </c>
      <c r="I39" s="21" t="s">
        <v>39</v>
      </c>
      <c r="J39" s="11">
        <v>2175000.0</v>
      </c>
      <c r="K39" s="21" t="s">
        <v>40</v>
      </c>
      <c r="L39" s="25">
        <v>43091.0</v>
      </c>
      <c r="M39" s="24" t="s">
        <v>170</v>
      </c>
      <c r="N39" s="21" t="s">
        <v>171</v>
      </c>
      <c r="O39" s="15">
        <f t="shared" si="1"/>
        <v>2017</v>
      </c>
      <c r="P39" s="16" t="str">
        <f t="shared" si="2"/>
        <v>AUD</v>
      </c>
      <c r="Q39" s="15">
        <f>IFERROR(__xludf.DUMMYFUNCTION("IFNA(INDEX(GOOGLEFINANCE(""Currency:USD""&amp;$P39,""price"",DATE(YEAR($L39),MONTH($L39),DAY($L39))),2,2),LOOKUP(P39,CurrencyCodes,UnitsPerUSD))"),1.296176)</f>
        <v>1.296176</v>
      </c>
      <c r="R39" s="17">
        <f t="shared" si="3"/>
        <v>1678012.862</v>
      </c>
    </row>
    <row r="40">
      <c r="A40" s="7">
        <v>43906.894626203706</v>
      </c>
      <c r="B40" s="18" t="s">
        <v>18</v>
      </c>
      <c r="C40" s="19"/>
      <c r="D40" s="18"/>
      <c r="E40" s="18" t="s">
        <v>172</v>
      </c>
      <c r="F40" s="18"/>
      <c r="G40" s="19"/>
      <c r="H40" s="21" t="s">
        <v>173</v>
      </c>
      <c r="I40" s="21" t="s">
        <v>24</v>
      </c>
      <c r="J40" s="11">
        <v>980000.0</v>
      </c>
      <c r="K40" s="21" t="s">
        <v>174</v>
      </c>
      <c r="L40" s="22"/>
      <c r="M40" s="21"/>
      <c r="N40" s="10" t="s">
        <v>175</v>
      </c>
      <c r="O40" s="15" t="str">
        <f t="shared" si="1"/>
        <v>Unknown</v>
      </c>
      <c r="P40" s="16" t="str">
        <f t="shared" si="2"/>
        <v>EUR</v>
      </c>
      <c r="Q40" s="15">
        <f>IFERROR(__xludf.DUMMYFUNCTION("IFNA(INDEX(GOOGLEFINANCE(""Currency:USD""&amp;$P40,""price"",DATE(YEAR($L40),MONTH($L40),DAY($L40))),2,2),LOOKUP(P40,CurrencyCodes,UnitsPerUSD))"),0.900001097)</f>
        <v>0.900001097</v>
      </c>
      <c r="R40" s="17">
        <f t="shared" si="3"/>
        <v>1088887.562</v>
      </c>
    </row>
    <row r="41">
      <c r="A41" s="7">
        <v>44062.590737210645</v>
      </c>
      <c r="B41" s="8" t="s">
        <v>18</v>
      </c>
      <c r="C41" s="9"/>
      <c r="D41" s="8" t="s">
        <v>176</v>
      </c>
      <c r="E41" s="8" t="s">
        <v>177</v>
      </c>
      <c r="F41" s="8" t="s">
        <v>178</v>
      </c>
      <c r="G41" s="9"/>
      <c r="H41" s="10" t="s">
        <v>179</v>
      </c>
      <c r="I41" s="10" t="s">
        <v>39</v>
      </c>
      <c r="J41" s="11">
        <v>0.0</v>
      </c>
      <c r="K41" s="10" t="s">
        <v>180</v>
      </c>
      <c r="L41" s="13"/>
      <c r="M41" s="10"/>
      <c r="N41" s="12" t="s">
        <v>181</v>
      </c>
      <c r="O41" s="15" t="str">
        <f t="shared" si="1"/>
        <v>Unknown</v>
      </c>
      <c r="P41" s="16" t="str">
        <f t="shared" si="2"/>
        <v>BSD</v>
      </c>
      <c r="Q41" s="15">
        <f>IFERROR(__xludf.DUMMYFUNCTION("IFNA(INDEX(GOOGLEFINANCE(""Currency:USD""&amp;$P41,""price"",DATE(YEAR($L41),MONTH($L41),DAY($L41))),2,2),LOOKUP(P41,CurrencyCodes,UnitsPerUSD))"),1.0)</f>
        <v>1</v>
      </c>
      <c r="R41" s="17">
        <f t="shared" si="3"/>
        <v>0</v>
      </c>
    </row>
    <row r="42">
      <c r="A42" s="7">
        <v>43914.81669734954</v>
      </c>
      <c r="B42" s="18" t="s">
        <v>18</v>
      </c>
      <c r="C42" s="19">
        <v>24.0</v>
      </c>
      <c r="D42" s="18" t="s">
        <v>182</v>
      </c>
      <c r="E42" s="18" t="s">
        <v>177</v>
      </c>
      <c r="F42" s="18"/>
      <c r="G42" s="19"/>
      <c r="H42" s="21" t="s">
        <v>179</v>
      </c>
      <c r="I42" s="21" t="s">
        <v>39</v>
      </c>
      <c r="J42" s="11">
        <v>325000.0</v>
      </c>
      <c r="K42" s="21" t="s">
        <v>180</v>
      </c>
      <c r="L42" s="25">
        <v>43466.0</v>
      </c>
      <c r="M42" s="31" t="s">
        <v>183</v>
      </c>
      <c r="N42" s="10"/>
      <c r="O42" s="15">
        <f t="shared" si="1"/>
        <v>2019</v>
      </c>
      <c r="P42" s="16" t="str">
        <f t="shared" si="2"/>
        <v>BSD</v>
      </c>
      <c r="Q42" s="15">
        <f>IFERROR(__xludf.DUMMYFUNCTION("IFNA(INDEX(GOOGLEFINANCE(""Currency:USD""&amp;$P42,""price"",DATE(YEAR($L42),MONTH($L42),DAY($L42))),2,2),LOOKUP(P42,CurrencyCodes,UnitsPerUSD))"),0.9935)</f>
        <v>0.9935</v>
      </c>
      <c r="R42" s="17">
        <f t="shared" si="3"/>
        <v>327126.3211</v>
      </c>
    </row>
    <row r="43">
      <c r="A43" s="7">
        <v>43930.99078957176</v>
      </c>
      <c r="B43" s="18" t="s">
        <v>18</v>
      </c>
      <c r="C43" s="19">
        <v>48.0</v>
      </c>
      <c r="D43" s="18" t="s">
        <v>184</v>
      </c>
      <c r="E43" s="18" t="s">
        <v>185</v>
      </c>
      <c r="F43" s="18" t="s">
        <v>186</v>
      </c>
      <c r="G43" s="19">
        <v>8670.0</v>
      </c>
      <c r="H43" s="21" t="s">
        <v>187</v>
      </c>
      <c r="I43" s="21" t="s">
        <v>39</v>
      </c>
      <c r="J43" s="11">
        <v>500000.0</v>
      </c>
      <c r="K43" s="21" t="s">
        <v>174</v>
      </c>
      <c r="L43" s="22"/>
      <c r="M43" s="21"/>
      <c r="N43" s="21" t="s">
        <v>188</v>
      </c>
      <c r="O43" s="15" t="str">
        <f t="shared" si="1"/>
        <v>Unknown</v>
      </c>
      <c r="P43" s="16" t="str">
        <f t="shared" si="2"/>
        <v>EUR</v>
      </c>
      <c r="Q43" s="15">
        <f>IFERROR(__xludf.DUMMYFUNCTION("IFNA(INDEX(GOOGLEFINANCE(""Currency:USD""&amp;$P43,""price"",DATE(YEAR($L43),MONTH($L43),DAY($L43))),2,2),LOOKUP(P43,CurrencyCodes,UnitsPerUSD))"),0.900001097)</f>
        <v>0.900001097</v>
      </c>
      <c r="R43" s="17">
        <f t="shared" si="3"/>
        <v>555554.8784</v>
      </c>
    </row>
    <row r="44">
      <c r="A44" s="7">
        <v>43900.887567337966</v>
      </c>
      <c r="B44" s="18" t="s">
        <v>189</v>
      </c>
      <c r="C44" s="19"/>
      <c r="D44" s="18"/>
      <c r="E44" s="18" t="s">
        <v>190</v>
      </c>
      <c r="F44" s="18"/>
      <c r="G44" s="19"/>
      <c r="H44" s="21" t="s">
        <v>187</v>
      </c>
      <c r="I44" s="21" t="s">
        <v>24</v>
      </c>
      <c r="J44" s="11">
        <v>1900000.0</v>
      </c>
      <c r="K44" s="21" t="s">
        <v>174</v>
      </c>
      <c r="L44" s="22"/>
      <c r="M44" s="21"/>
      <c r="N44" s="21"/>
      <c r="O44" s="15" t="str">
        <f t="shared" si="1"/>
        <v>Unknown</v>
      </c>
      <c r="P44" s="16" t="str">
        <f t="shared" si="2"/>
        <v>EUR</v>
      </c>
      <c r="Q44" s="15">
        <f>IFERROR(__xludf.DUMMYFUNCTION("IFNA(INDEX(GOOGLEFINANCE(""Currency:USD""&amp;$P44,""price"",DATE(YEAR($L44),MONTH($L44),DAY($L44))),2,2),LOOKUP(P44,CurrencyCodes,UnitsPerUSD))"),0.900001097)</f>
        <v>0.900001097</v>
      </c>
      <c r="R44" s="17">
        <f t="shared" si="3"/>
        <v>2111108.538</v>
      </c>
    </row>
    <row r="45">
      <c r="A45" s="7">
        <v>43998.19184824074</v>
      </c>
      <c r="B45" s="18" t="s">
        <v>18</v>
      </c>
      <c r="C45" s="19"/>
      <c r="D45" s="18"/>
      <c r="E45" s="18" t="s">
        <v>191</v>
      </c>
      <c r="F45" s="18" t="s">
        <v>192</v>
      </c>
      <c r="G45" s="19"/>
      <c r="H45" s="21" t="s">
        <v>193</v>
      </c>
      <c r="I45" s="21" t="s">
        <v>39</v>
      </c>
      <c r="J45" s="11">
        <v>0.0</v>
      </c>
      <c r="K45" s="21" t="s">
        <v>194</v>
      </c>
      <c r="L45" s="22"/>
      <c r="M45" s="21"/>
      <c r="N45" s="21"/>
      <c r="O45" s="15" t="str">
        <f t="shared" si="1"/>
        <v>Unknown</v>
      </c>
      <c r="P45" s="16" t="str">
        <f t="shared" si="2"/>
        <v>CAD</v>
      </c>
      <c r="Q45" s="15">
        <f>IFERROR(__xludf.DUMMYFUNCTION("IFNA(INDEX(GOOGLEFINANCE(""Currency:USD""&amp;$P45,""price"",DATE(YEAR($L45),MONTH($L45),DAY($L45))),2,2),LOOKUP(P45,CurrencyCodes,UnitsPerUSD))"),1.3816292481)</f>
        <v>1.381629248</v>
      </c>
      <c r="R45" s="17">
        <f t="shared" si="3"/>
        <v>0</v>
      </c>
    </row>
    <row r="46">
      <c r="A46" s="7">
        <v>43923.86733070602</v>
      </c>
      <c r="B46" s="18" t="s">
        <v>18</v>
      </c>
      <c r="C46" s="19">
        <v>779.0</v>
      </c>
      <c r="D46" s="18" t="s">
        <v>195</v>
      </c>
      <c r="E46" s="18" t="s">
        <v>196</v>
      </c>
      <c r="F46" s="18" t="s">
        <v>197</v>
      </c>
      <c r="G46" s="19" t="s">
        <v>198</v>
      </c>
      <c r="H46" s="21" t="s">
        <v>193</v>
      </c>
      <c r="I46" s="21" t="s">
        <v>39</v>
      </c>
      <c r="J46" s="11">
        <v>845000.0</v>
      </c>
      <c r="K46" s="21" t="s">
        <v>194</v>
      </c>
      <c r="L46" s="25">
        <v>43794.0</v>
      </c>
      <c r="M46" s="31" t="s">
        <v>199</v>
      </c>
      <c r="N46" s="21"/>
      <c r="O46" s="15">
        <f t="shared" si="1"/>
        <v>2019</v>
      </c>
      <c r="P46" s="16" t="str">
        <f t="shared" si="2"/>
        <v>CAD</v>
      </c>
      <c r="Q46" s="15">
        <f>IFERROR(__xludf.DUMMYFUNCTION("IFNA(INDEX(GOOGLEFINANCE(""Currency:USD""&amp;$P46,""price"",DATE(YEAR($L46),MONTH($L46),DAY($L46))),2,2),LOOKUP(P46,CurrencyCodes,UnitsPerUSD))"),1.330355)</f>
        <v>1.330355</v>
      </c>
      <c r="R46" s="17">
        <f t="shared" si="3"/>
        <v>635168.8083</v>
      </c>
    </row>
    <row r="47">
      <c r="A47" s="7">
        <v>43919.6356241551</v>
      </c>
      <c r="B47" s="18" t="s">
        <v>18</v>
      </c>
      <c r="C47" s="19">
        <v>1880.0</v>
      </c>
      <c r="D47" s="18" t="s">
        <v>200</v>
      </c>
      <c r="E47" s="18" t="s">
        <v>201</v>
      </c>
      <c r="F47" s="18" t="s">
        <v>197</v>
      </c>
      <c r="G47" s="19" t="s">
        <v>202</v>
      </c>
      <c r="H47" s="21" t="s">
        <v>193</v>
      </c>
      <c r="I47" s="21" t="s">
        <v>24</v>
      </c>
      <c r="J47" s="11">
        <v>2950000.0</v>
      </c>
      <c r="K47" s="21" t="s">
        <v>194</v>
      </c>
      <c r="L47" s="22"/>
      <c r="M47" s="24" t="s">
        <v>203</v>
      </c>
      <c r="N47" s="27" t="s">
        <v>204</v>
      </c>
      <c r="O47" s="15" t="str">
        <f t="shared" si="1"/>
        <v>Unknown</v>
      </c>
      <c r="P47" s="16" t="str">
        <f t="shared" si="2"/>
        <v>CAD</v>
      </c>
      <c r="Q47" s="15">
        <f>IFERROR(__xludf.DUMMYFUNCTION("IFNA(INDEX(GOOGLEFINANCE(""Currency:USD""&amp;$P47,""price"",DATE(YEAR($L47),MONTH($L47),DAY($L47))),2,2),LOOKUP(P47,CurrencyCodes,UnitsPerUSD))"),1.3816292481)</f>
        <v>1.381629248</v>
      </c>
      <c r="R47" s="17">
        <f t="shared" si="3"/>
        <v>2135160.358</v>
      </c>
    </row>
    <row r="48">
      <c r="A48" s="7">
        <v>43919.63508386574</v>
      </c>
      <c r="B48" s="18" t="s">
        <v>18</v>
      </c>
      <c r="C48" s="19">
        <v>421.0</v>
      </c>
      <c r="D48" s="18" t="s">
        <v>205</v>
      </c>
      <c r="E48" s="18" t="s">
        <v>206</v>
      </c>
      <c r="F48" s="18" t="s">
        <v>197</v>
      </c>
      <c r="G48" s="19" t="s">
        <v>207</v>
      </c>
      <c r="H48" s="21" t="s">
        <v>193</v>
      </c>
      <c r="I48" s="21" t="s">
        <v>39</v>
      </c>
      <c r="J48" s="11">
        <v>214900.0</v>
      </c>
      <c r="K48" s="21" t="s">
        <v>194</v>
      </c>
      <c r="L48" s="25">
        <v>43891.0</v>
      </c>
      <c r="M48" s="24" t="s">
        <v>208</v>
      </c>
      <c r="N48" s="10" t="s">
        <v>209</v>
      </c>
      <c r="O48" s="15">
        <f t="shared" si="1"/>
        <v>2020</v>
      </c>
      <c r="P48" s="16" t="str">
        <f t="shared" si="2"/>
        <v>CAD</v>
      </c>
      <c r="Q48" s="15">
        <f>IFERROR(__xludf.DUMMYFUNCTION("IFNA(INDEX(GOOGLEFINANCE(""Currency:USD""&amp;$P48,""price"",DATE(YEAR($L48),MONTH($L48),DAY($L48))),2,2),LOOKUP(P48,CurrencyCodes,UnitsPerUSD))"),1.34081)</f>
        <v>1.34081</v>
      </c>
      <c r="R48" s="17">
        <f t="shared" si="3"/>
        <v>160276.2509</v>
      </c>
    </row>
    <row r="49">
      <c r="A49" s="7">
        <v>43915.81419853009</v>
      </c>
      <c r="B49" s="18" t="s">
        <v>18</v>
      </c>
      <c r="C49" s="19">
        <v>6221.0</v>
      </c>
      <c r="D49" s="18" t="s">
        <v>210</v>
      </c>
      <c r="E49" s="18" t="s">
        <v>211</v>
      </c>
      <c r="F49" s="18" t="s">
        <v>197</v>
      </c>
      <c r="G49" s="19" t="s">
        <v>212</v>
      </c>
      <c r="H49" s="21" t="s">
        <v>193</v>
      </c>
      <c r="I49" s="21" t="s">
        <v>24</v>
      </c>
      <c r="J49" s="11">
        <v>499900.0</v>
      </c>
      <c r="K49" s="21" t="s">
        <v>194</v>
      </c>
      <c r="L49" s="22"/>
      <c r="M49" s="31" t="s">
        <v>213</v>
      </c>
      <c r="N49" s="10"/>
      <c r="O49" s="15" t="str">
        <f t="shared" si="1"/>
        <v>Unknown</v>
      </c>
      <c r="P49" s="16" t="str">
        <f t="shared" si="2"/>
        <v>CAD</v>
      </c>
      <c r="Q49" s="15">
        <f>IFERROR(__xludf.DUMMYFUNCTION("IFNA(INDEX(GOOGLEFINANCE(""Currency:USD""&amp;$P49,""price"",DATE(YEAR($L49),MONTH($L49),DAY($L49))),2,2),LOOKUP(P49,CurrencyCodes,UnitsPerUSD))"),1.3816292481)</f>
        <v>1.381629248</v>
      </c>
      <c r="R49" s="17">
        <f t="shared" si="3"/>
        <v>361819.2078</v>
      </c>
    </row>
    <row r="50">
      <c r="A50" s="7">
        <v>43918.97357486111</v>
      </c>
      <c r="B50" s="8" t="s">
        <v>18</v>
      </c>
      <c r="C50" s="9">
        <v>502.0</v>
      </c>
      <c r="D50" s="8" t="s">
        <v>214</v>
      </c>
      <c r="E50" s="8" t="s">
        <v>215</v>
      </c>
      <c r="F50" s="8" t="s">
        <v>197</v>
      </c>
      <c r="G50" s="9" t="s">
        <v>216</v>
      </c>
      <c r="H50" s="10" t="s">
        <v>193</v>
      </c>
      <c r="I50" s="10" t="s">
        <v>39</v>
      </c>
      <c r="J50" s="11">
        <v>369000.0</v>
      </c>
      <c r="K50" s="10" t="s">
        <v>194</v>
      </c>
      <c r="L50" s="25">
        <v>43882.0</v>
      </c>
      <c r="M50" s="28" t="s">
        <v>217</v>
      </c>
      <c r="N50" s="12" t="s">
        <v>218</v>
      </c>
      <c r="O50" s="15">
        <f t="shared" si="1"/>
        <v>2020</v>
      </c>
      <c r="P50" s="16" t="str">
        <f t="shared" si="2"/>
        <v>CAD</v>
      </c>
      <c r="Q50" s="15">
        <f>IFERROR(__xludf.DUMMYFUNCTION("IFNA(INDEX(GOOGLEFINANCE(""Currency:USD""&amp;$P50,""price"",DATE(YEAR($L50),MONTH($L50),DAY($L50))),2,2),LOOKUP(P50,CurrencyCodes,UnitsPerUSD))"),1.322315)</f>
        <v>1.322315</v>
      </c>
      <c r="R50" s="17">
        <f t="shared" si="3"/>
        <v>279056.0494</v>
      </c>
    </row>
    <row r="51">
      <c r="A51" s="7">
        <v>43970.304954004634</v>
      </c>
      <c r="B51" s="8" t="s">
        <v>18</v>
      </c>
      <c r="C51" s="9">
        <v>184.0</v>
      </c>
      <c r="D51" s="8" t="s">
        <v>219</v>
      </c>
      <c r="E51" s="8" t="s">
        <v>220</v>
      </c>
      <c r="F51" s="8" t="s">
        <v>221</v>
      </c>
      <c r="G51" s="9" t="s">
        <v>222</v>
      </c>
      <c r="H51" s="10" t="s">
        <v>193</v>
      </c>
      <c r="I51" s="10" t="s">
        <v>39</v>
      </c>
      <c r="J51" s="11">
        <v>474900.0</v>
      </c>
      <c r="K51" s="10" t="s">
        <v>194</v>
      </c>
      <c r="L51" s="25">
        <v>43279.0</v>
      </c>
      <c r="M51" s="28" t="s">
        <v>223</v>
      </c>
      <c r="N51" s="12" t="s">
        <v>224</v>
      </c>
      <c r="O51" s="15">
        <f t="shared" si="1"/>
        <v>2018</v>
      </c>
      <c r="P51" s="16" t="str">
        <f t="shared" si="2"/>
        <v>CAD</v>
      </c>
      <c r="Q51" s="15">
        <f>IFERROR(__xludf.DUMMYFUNCTION("IFNA(INDEX(GOOGLEFINANCE(""Currency:USD""&amp;$P51,""price"",DATE(YEAR($L51),MONTH($L51),DAY($L51))),2,2),LOOKUP(P51,CurrencyCodes,UnitsPerUSD))"),1.32552)</f>
        <v>1.32552</v>
      </c>
      <c r="R51" s="17">
        <f t="shared" si="3"/>
        <v>358274.4885</v>
      </c>
    </row>
    <row r="52">
      <c r="A52" s="7">
        <v>43900.94157571759</v>
      </c>
      <c r="B52" s="18" t="s">
        <v>18</v>
      </c>
      <c r="C52" s="19">
        <v>1518.0</v>
      </c>
      <c r="D52" s="18" t="s">
        <v>225</v>
      </c>
      <c r="E52" s="18" t="s">
        <v>226</v>
      </c>
      <c r="F52" s="18" t="s">
        <v>227</v>
      </c>
      <c r="G52" s="19" t="s">
        <v>228</v>
      </c>
      <c r="H52" s="21" t="s">
        <v>193</v>
      </c>
      <c r="I52" s="21" t="s">
        <v>39</v>
      </c>
      <c r="J52" s="11">
        <v>898000.0</v>
      </c>
      <c r="K52" s="21" t="s">
        <v>194</v>
      </c>
      <c r="L52" s="25">
        <v>43840.0</v>
      </c>
      <c r="M52" s="28" t="s">
        <v>229</v>
      </c>
      <c r="N52" s="27" t="s">
        <v>230</v>
      </c>
      <c r="O52" s="15">
        <f t="shared" si="1"/>
        <v>2020</v>
      </c>
      <c r="P52" s="16" t="str">
        <f t="shared" si="2"/>
        <v>CAD</v>
      </c>
      <c r="Q52" s="15">
        <f>IFERROR(__xludf.DUMMYFUNCTION("IFNA(INDEX(GOOGLEFINANCE(""Currency:USD""&amp;$P52,""price"",DATE(YEAR($L52),MONTH($L52),DAY($L52))),2,2),LOOKUP(P52,CurrencyCodes,UnitsPerUSD))"),1.30518)</f>
        <v>1.30518</v>
      </c>
      <c r="R52" s="17">
        <f t="shared" si="3"/>
        <v>688027.705</v>
      </c>
    </row>
    <row r="53">
      <c r="A53" s="7">
        <v>43943.69265403935</v>
      </c>
      <c r="B53" s="18" t="s">
        <v>18</v>
      </c>
      <c r="C53" s="19">
        <v>6735.0</v>
      </c>
      <c r="D53" s="18" t="s">
        <v>231</v>
      </c>
      <c r="E53" s="18" t="s">
        <v>232</v>
      </c>
      <c r="F53" s="18" t="s">
        <v>233</v>
      </c>
      <c r="G53" s="19" t="s">
        <v>234</v>
      </c>
      <c r="H53" s="21" t="s">
        <v>193</v>
      </c>
      <c r="I53" s="21" t="s">
        <v>39</v>
      </c>
      <c r="J53" s="11">
        <v>0.0</v>
      </c>
      <c r="K53" s="21" t="s">
        <v>194</v>
      </c>
      <c r="L53" s="22"/>
      <c r="M53" s="24" t="s">
        <v>235</v>
      </c>
      <c r="N53" s="21" t="s">
        <v>47</v>
      </c>
      <c r="O53" s="15" t="str">
        <f t="shared" si="1"/>
        <v>Unknown</v>
      </c>
      <c r="P53" s="16" t="str">
        <f t="shared" si="2"/>
        <v>CAD</v>
      </c>
      <c r="Q53" s="15">
        <f>IFERROR(__xludf.DUMMYFUNCTION("IFNA(INDEX(GOOGLEFINANCE(""Currency:USD""&amp;$P53,""price"",DATE(YEAR($L53),MONTH($L53),DAY($L53))),2,2),LOOKUP(P53,CurrencyCodes,UnitsPerUSD))"),1.3816292481)</f>
        <v>1.381629248</v>
      </c>
      <c r="R53" s="17">
        <f t="shared" si="3"/>
        <v>0</v>
      </c>
    </row>
    <row r="54">
      <c r="A54" s="7">
        <v>43908.85799175926</v>
      </c>
      <c r="B54" s="8" t="s">
        <v>18</v>
      </c>
      <c r="C54" s="9">
        <v>300.0</v>
      </c>
      <c r="D54" s="8" t="s">
        <v>236</v>
      </c>
      <c r="E54" s="8" t="s">
        <v>237</v>
      </c>
      <c r="F54" s="8" t="s">
        <v>238</v>
      </c>
      <c r="G54" s="9" t="s">
        <v>239</v>
      </c>
      <c r="H54" s="10" t="s">
        <v>193</v>
      </c>
      <c r="I54" s="10" t="s">
        <v>24</v>
      </c>
      <c r="J54" s="11">
        <v>0.0</v>
      </c>
      <c r="K54" s="10" t="s">
        <v>194</v>
      </c>
      <c r="L54" s="22"/>
      <c r="M54" s="28" t="s">
        <v>240</v>
      </c>
      <c r="N54" s="10" t="s">
        <v>175</v>
      </c>
      <c r="O54" s="15" t="str">
        <f t="shared" si="1"/>
        <v>Unknown</v>
      </c>
      <c r="P54" s="16" t="str">
        <f t="shared" si="2"/>
        <v>CAD</v>
      </c>
      <c r="Q54" s="15">
        <f>IFERROR(__xludf.DUMMYFUNCTION("IFNA(INDEX(GOOGLEFINANCE(""Currency:USD""&amp;$P54,""price"",DATE(YEAR($L54),MONTH($L54),DAY($L54))),2,2),LOOKUP(P54,CurrencyCodes,UnitsPerUSD))"),1.3816292481)</f>
        <v>1.381629248</v>
      </c>
      <c r="R54" s="17">
        <f t="shared" si="3"/>
        <v>0</v>
      </c>
    </row>
    <row r="55">
      <c r="A55" s="7">
        <v>43971.387239918986</v>
      </c>
      <c r="B55" s="8" t="s">
        <v>18</v>
      </c>
      <c r="C55" s="9">
        <v>8235.0</v>
      </c>
      <c r="D55" s="8" t="s">
        <v>241</v>
      </c>
      <c r="E55" s="8" t="s">
        <v>242</v>
      </c>
      <c r="F55" s="8"/>
      <c r="G55" s="9"/>
      <c r="H55" s="10" t="s">
        <v>243</v>
      </c>
      <c r="I55" s="10" t="s">
        <v>24</v>
      </c>
      <c r="J55" s="11">
        <v>1.399E8</v>
      </c>
      <c r="K55" s="10" t="s">
        <v>244</v>
      </c>
      <c r="L55" s="25">
        <v>43952.0</v>
      </c>
      <c r="M55" s="28" t="s">
        <v>245</v>
      </c>
      <c r="N55" s="12" t="s">
        <v>246</v>
      </c>
      <c r="O55" s="15">
        <f t="shared" si="1"/>
        <v>2020</v>
      </c>
      <c r="P55" s="16" t="str">
        <f t="shared" si="2"/>
        <v>CLP</v>
      </c>
      <c r="Q55" s="15">
        <f>IFERROR(__xludf.DUMMYFUNCTION("IFNA(INDEX(GOOGLEFINANCE(""Currency:USD""&amp;$P55,""price"",DATE(YEAR($L55),MONTH($L55),DAY($L55))),2,2),LOOKUP(P55,CurrencyCodes,UnitsPerUSD))"),834.7)</f>
        <v>834.7</v>
      </c>
      <c r="R55" s="17">
        <f t="shared" si="3"/>
        <v>167605.1276</v>
      </c>
    </row>
    <row r="56">
      <c r="A56" s="7">
        <v>43907.857957025466</v>
      </c>
      <c r="B56" s="18" t="s">
        <v>18</v>
      </c>
      <c r="C56" s="19"/>
      <c r="D56" s="18"/>
      <c r="E56" s="18" t="s">
        <v>247</v>
      </c>
      <c r="F56" s="18"/>
      <c r="G56" s="19"/>
      <c r="H56" s="21" t="s">
        <v>248</v>
      </c>
      <c r="I56" s="21" t="s">
        <v>39</v>
      </c>
      <c r="J56" s="11">
        <v>1.8E8</v>
      </c>
      <c r="K56" s="21" t="s">
        <v>249</v>
      </c>
      <c r="L56" s="22"/>
      <c r="M56" s="21"/>
      <c r="N56" s="10"/>
      <c r="O56" s="15" t="str">
        <f t="shared" si="1"/>
        <v>Unknown</v>
      </c>
      <c r="P56" s="16" t="str">
        <f t="shared" si="2"/>
        <v>COP</v>
      </c>
      <c r="Q56" s="15">
        <f>IFERROR(__xludf.DUMMYFUNCTION("IFNA(INDEX(GOOGLEFINANCE(""Currency:USD""&amp;$P56,""price"",DATE(YEAR($L56),MONTH($L56),DAY($L56))),2,2),LOOKUP(P56,CurrencyCodes,UnitsPerUSD))"),4020.9431973468)</f>
        <v>4020.943197</v>
      </c>
      <c r="R56" s="17">
        <f t="shared" si="3"/>
        <v>44765.61622</v>
      </c>
    </row>
    <row r="57">
      <c r="A57" s="7">
        <v>43944.36318570602</v>
      </c>
      <c r="B57" s="18" t="s">
        <v>250</v>
      </c>
      <c r="C57" s="9"/>
      <c r="D57" s="8" t="s">
        <v>251</v>
      </c>
      <c r="E57" s="18" t="s">
        <v>252</v>
      </c>
      <c r="F57" s="8" t="s">
        <v>253</v>
      </c>
      <c r="G57" s="19"/>
      <c r="H57" s="21" t="s">
        <v>254</v>
      </c>
      <c r="I57" s="21" t="s">
        <v>24</v>
      </c>
      <c r="J57" s="11">
        <v>2.199075E7</v>
      </c>
      <c r="K57" s="21" t="s">
        <v>25</v>
      </c>
      <c r="L57" s="25">
        <v>43917.0</v>
      </c>
      <c r="M57" s="24" t="s">
        <v>255</v>
      </c>
      <c r="N57" s="12" t="s">
        <v>256</v>
      </c>
      <c r="O57" s="15">
        <f t="shared" si="1"/>
        <v>2020</v>
      </c>
      <c r="P57" s="16" t="str">
        <f t="shared" si="2"/>
        <v>USD</v>
      </c>
      <c r="Q57" s="15">
        <f>IFERROR(__xludf.DUMMYFUNCTION("IFNA(INDEX(GOOGLEFINANCE(""Currency:USD""&amp;$P57,""price"",DATE(YEAR($L57),MONTH($L57),DAY($L57))),2,2),LOOKUP(P57,CurrencyCodes,UnitsPerUSD))"),1.0)</f>
        <v>1</v>
      </c>
      <c r="R57" s="17">
        <f t="shared" si="3"/>
        <v>21990750</v>
      </c>
    </row>
    <row r="58">
      <c r="A58" s="7">
        <v>43912.4122328125</v>
      </c>
      <c r="B58" s="8" t="s">
        <v>189</v>
      </c>
      <c r="C58" s="9">
        <v>2.0</v>
      </c>
      <c r="D58" s="8" t="s">
        <v>257</v>
      </c>
      <c r="E58" s="8" t="s">
        <v>258</v>
      </c>
      <c r="F58" s="8" t="s">
        <v>259</v>
      </c>
      <c r="G58" s="9">
        <v>4160.0</v>
      </c>
      <c r="H58" s="10" t="s">
        <v>260</v>
      </c>
      <c r="I58" s="10" t="s">
        <v>24</v>
      </c>
      <c r="J58" s="11">
        <v>1.0E7</v>
      </c>
      <c r="K58" s="10" t="s">
        <v>261</v>
      </c>
      <c r="L58" s="25">
        <v>43831.0</v>
      </c>
      <c r="M58" s="28" t="s">
        <v>262</v>
      </c>
      <c r="N58" s="12" t="s">
        <v>263</v>
      </c>
      <c r="O58" s="15">
        <f t="shared" si="1"/>
        <v>2020</v>
      </c>
      <c r="P58" s="16" t="str">
        <f t="shared" si="2"/>
        <v>DKK</v>
      </c>
      <c r="Q58" s="15">
        <f>IFERROR(__xludf.DUMMYFUNCTION("IFNA(INDEX(GOOGLEFINANCE(""Currency:USD""&amp;$P58,""price"",DATE(YEAR($L58),MONTH($L58),DAY($L58))),2,2),LOOKUP(P58,CurrencyCodes,UnitsPerUSD))"),6.6597)</f>
        <v>6.6597</v>
      </c>
      <c r="R58" s="17">
        <f t="shared" si="3"/>
        <v>1501569.14</v>
      </c>
    </row>
    <row r="59">
      <c r="A59" s="7">
        <v>43914.87801206019</v>
      </c>
      <c r="B59" s="8" t="s">
        <v>189</v>
      </c>
      <c r="C59" s="9">
        <v>10.0</v>
      </c>
      <c r="D59" s="8" t="s">
        <v>264</v>
      </c>
      <c r="E59" s="8" t="s">
        <v>265</v>
      </c>
      <c r="F59" s="8"/>
      <c r="G59" s="9">
        <v>90820.0</v>
      </c>
      <c r="H59" s="10" t="s">
        <v>266</v>
      </c>
      <c r="I59" s="10" t="s">
        <v>39</v>
      </c>
      <c r="J59" s="11">
        <v>815000.0</v>
      </c>
      <c r="K59" s="10" t="s">
        <v>174</v>
      </c>
      <c r="L59" s="25">
        <v>43466.0</v>
      </c>
      <c r="M59" s="28" t="s">
        <v>267</v>
      </c>
      <c r="N59" s="12" t="s">
        <v>268</v>
      </c>
      <c r="O59" s="15">
        <f t="shared" si="1"/>
        <v>2019</v>
      </c>
      <c r="P59" s="16" t="str">
        <f t="shared" si="2"/>
        <v>EUR</v>
      </c>
      <c r="Q59" s="15">
        <f>IFERROR(__xludf.DUMMYFUNCTION("IFNA(INDEX(GOOGLEFINANCE(""Currency:USD""&amp;$P59,""price"",DATE(YEAR($L59),MONTH($L59),DAY($L59))),2,2),LOOKUP(P59,CurrencyCodes,UnitsPerUSD))"),0.87247)</f>
        <v>0.87247</v>
      </c>
      <c r="R59" s="17">
        <f t="shared" si="3"/>
        <v>934129.5403</v>
      </c>
    </row>
    <row r="60">
      <c r="A60" s="7">
        <v>43932.86737876157</v>
      </c>
      <c r="B60" s="18" t="s">
        <v>18</v>
      </c>
      <c r="C60" s="9">
        <v>2.0</v>
      </c>
      <c r="D60" s="8" t="s">
        <v>269</v>
      </c>
      <c r="E60" s="18" t="s">
        <v>270</v>
      </c>
      <c r="F60" s="8" t="s">
        <v>271</v>
      </c>
      <c r="G60" s="9">
        <v>91074.0</v>
      </c>
      <c r="H60" s="21" t="s">
        <v>272</v>
      </c>
      <c r="I60" s="21" t="s">
        <v>39</v>
      </c>
      <c r="J60" s="11">
        <v>0.0</v>
      </c>
      <c r="K60" s="21" t="s">
        <v>174</v>
      </c>
      <c r="L60" s="22"/>
      <c r="M60" s="10"/>
      <c r="N60" s="21"/>
      <c r="O60" s="15" t="str">
        <f t="shared" si="1"/>
        <v>Unknown</v>
      </c>
      <c r="P60" s="16" t="str">
        <f t="shared" si="2"/>
        <v>EUR</v>
      </c>
      <c r="Q60" s="15">
        <f>IFERROR(__xludf.DUMMYFUNCTION("IFNA(INDEX(GOOGLEFINANCE(""Currency:USD""&amp;$P60,""price"",DATE(YEAR($L60),MONTH($L60),DAY($L60))),2,2),LOOKUP(P60,CurrencyCodes,UnitsPerUSD))"),0.900001097)</f>
        <v>0.900001097</v>
      </c>
      <c r="R60" s="17">
        <f t="shared" si="3"/>
        <v>0</v>
      </c>
    </row>
    <row r="61">
      <c r="A61" s="7">
        <v>43901.95597005787</v>
      </c>
      <c r="B61" s="18" t="s">
        <v>18</v>
      </c>
      <c r="C61" s="19"/>
      <c r="D61" s="18"/>
      <c r="E61" s="18" t="s">
        <v>273</v>
      </c>
      <c r="F61" s="18" t="s">
        <v>274</v>
      </c>
      <c r="G61" s="9">
        <v>45772.0</v>
      </c>
      <c r="H61" s="21" t="s">
        <v>272</v>
      </c>
      <c r="I61" s="21" t="s">
        <v>24</v>
      </c>
      <c r="J61" s="11">
        <v>239000.0</v>
      </c>
      <c r="K61" s="21" t="s">
        <v>174</v>
      </c>
      <c r="L61" s="22"/>
      <c r="M61" s="31" t="s">
        <v>275</v>
      </c>
      <c r="N61" s="10"/>
      <c r="O61" s="15" t="str">
        <f t="shared" si="1"/>
        <v>Unknown</v>
      </c>
      <c r="P61" s="16" t="str">
        <f t="shared" si="2"/>
        <v>EUR</v>
      </c>
      <c r="Q61" s="15">
        <f>IFERROR(__xludf.DUMMYFUNCTION("IFNA(INDEX(GOOGLEFINANCE(""Currency:USD""&amp;$P61,""price"",DATE(YEAR($L61),MONTH($L61),DAY($L61))),2,2),LOOKUP(P61,CurrencyCodes,UnitsPerUSD))"),0.900001097)</f>
        <v>0.900001097</v>
      </c>
      <c r="R61" s="17">
        <f t="shared" si="3"/>
        <v>265555.2319</v>
      </c>
    </row>
    <row r="62">
      <c r="A62" s="7">
        <v>43901.942670902776</v>
      </c>
      <c r="B62" s="18" t="s">
        <v>18</v>
      </c>
      <c r="C62" s="19"/>
      <c r="D62" s="18"/>
      <c r="E62" s="18" t="s">
        <v>276</v>
      </c>
      <c r="F62" s="18" t="s">
        <v>277</v>
      </c>
      <c r="G62" s="19">
        <v>44892.0</v>
      </c>
      <c r="H62" s="21" t="s">
        <v>272</v>
      </c>
      <c r="I62" s="21" t="s">
        <v>24</v>
      </c>
      <c r="J62" s="11">
        <v>460000.0</v>
      </c>
      <c r="K62" s="21" t="s">
        <v>174</v>
      </c>
      <c r="L62" s="22"/>
      <c r="M62" s="31" t="s">
        <v>278</v>
      </c>
      <c r="N62" s="21"/>
      <c r="O62" s="15" t="str">
        <f t="shared" si="1"/>
        <v>Unknown</v>
      </c>
      <c r="P62" s="16" t="str">
        <f t="shared" si="2"/>
        <v>EUR</v>
      </c>
      <c r="Q62" s="15">
        <f>IFERROR(__xludf.DUMMYFUNCTION("IFNA(INDEX(GOOGLEFINANCE(""Currency:USD""&amp;$P62,""price"",DATE(YEAR($L62),MONTH($L62),DAY($L62))),2,2),LOOKUP(P62,CurrencyCodes,UnitsPerUSD))"),0.900001097)</f>
        <v>0.900001097</v>
      </c>
      <c r="R62" s="17">
        <f t="shared" si="3"/>
        <v>511110.4881</v>
      </c>
    </row>
    <row r="63">
      <c r="A63" s="7">
        <v>43923.04268125</v>
      </c>
      <c r="B63" s="18" t="s">
        <v>18</v>
      </c>
      <c r="C63" s="19">
        <v>9.0</v>
      </c>
      <c r="D63" s="18" t="s">
        <v>279</v>
      </c>
      <c r="E63" s="18" t="s">
        <v>280</v>
      </c>
      <c r="F63" s="18" t="s">
        <v>281</v>
      </c>
      <c r="G63" s="19">
        <v>44225.0</v>
      </c>
      <c r="H63" s="21" t="s">
        <v>272</v>
      </c>
      <c r="I63" s="21" t="s">
        <v>39</v>
      </c>
      <c r="J63" s="11">
        <v>279000.0</v>
      </c>
      <c r="K63" s="21" t="s">
        <v>174</v>
      </c>
      <c r="L63" s="25">
        <v>43840.0</v>
      </c>
      <c r="M63" s="14" t="s">
        <v>282</v>
      </c>
      <c r="N63" s="21"/>
      <c r="O63" s="15">
        <f t="shared" si="1"/>
        <v>2020</v>
      </c>
      <c r="P63" s="16" t="str">
        <f t="shared" si="2"/>
        <v>EUR</v>
      </c>
      <c r="Q63" s="15">
        <f>IFERROR(__xludf.DUMMYFUNCTION("IFNA(INDEX(GOOGLEFINANCE(""Currency:USD""&amp;$P63,""price"",DATE(YEAR($L63),MONTH($L63),DAY($L63))),2,2),LOOKUP(P63,CurrencyCodes,UnitsPerUSD))"),0.8993)</f>
        <v>0.8993</v>
      </c>
      <c r="R63" s="17">
        <f t="shared" si="3"/>
        <v>310241.2988</v>
      </c>
    </row>
    <row r="64">
      <c r="A64" s="7">
        <v>44034.41002728009</v>
      </c>
      <c r="B64" s="8" t="s">
        <v>18</v>
      </c>
      <c r="C64" s="9">
        <v>15.0</v>
      </c>
      <c r="D64" s="8" t="s">
        <v>283</v>
      </c>
      <c r="E64" s="8" t="s">
        <v>284</v>
      </c>
      <c r="F64" s="8" t="s">
        <v>285</v>
      </c>
      <c r="G64" s="9"/>
      <c r="H64" s="10" t="s">
        <v>272</v>
      </c>
      <c r="I64" s="10" t="s">
        <v>39</v>
      </c>
      <c r="J64" s="11">
        <v>475000.0</v>
      </c>
      <c r="K64" s="10" t="s">
        <v>174</v>
      </c>
      <c r="L64" s="25">
        <v>44032.0</v>
      </c>
      <c r="M64" s="28" t="s">
        <v>286</v>
      </c>
      <c r="N64" s="12" t="s">
        <v>287</v>
      </c>
      <c r="O64" s="15">
        <f t="shared" si="1"/>
        <v>2020</v>
      </c>
      <c r="P64" s="16" t="str">
        <f t="shared" si="2"/>
        <v>EUR</v>
      </c>
      <c r="Q64" s="15">
        <f>IFERROR(__xludf.DUMMYFUNCTION("IFNA(INDEX(GOOGLEFINANCE(""Currency:USD""&amp;$P64,""price"",DATE(YEAR($L64),MONTH($L64),DAY($L64))),2,2),LOOKUP(P64,CurrencyCodes,UnitsPerUSD))"),0.87383)</f>
        <v>0.87383</v>
      </c>
      <c r="R64" s="17">
        <f t="shared" si="3"/>
        <v>543583.9923</v>
      </c>
    </row>
    <row r="65">
      <c r="A65" s="7">
        <v>43901.94708657407</v>
      </c>
      <c r="B65" s="18" t="s">
        <v>18</v>
      </c>
      <c r="C65" s="9"/>
      <c r="D65" s="18"/>
      <c r="E65" s="18" t="s">
        <v>288</v>
      </c>
      <c r="F65" s="8" t="s">
        <v>289</v>
      </c>
      <c r="G65" s="19"/>
      <c r="H65" s="21" t="s">
        <v>272</v>
      </c>
      <c r="I65" s="21" t="s">
        <v>24</v>
      </c>
      <c r="J65" s="11">
        <v>250000.0</v>
      </c>
      <c r="K65" s="21" t="s">
        <v>174</v>
      </c>
      <c r="L65" s="22"/>
      <c r="M65" s="31" t="s">
        <v>290</v>
      </c>
      <c r="N65" s="21"/>
      <c r="O65" s="15" t="str">
        <f t="shared" si="1"/>
        <v>Unknown</v>
      </c>
      <c r="P65" s="16" t="str">
        <f t="shared" si="2"/>
        <v>EUR</v>
      </c>
      <c r="Q65" s="15">
        <f>IFERROR(__xludf.DUMMYFUNCTION("IFNA(INDEX(GOOGLEFINANCE(""Currency:USD""&amp;$P65,""price"",DATE(YEAR($L65),MONTH($L65),DAY($L65))),2,2),LOOKUP(P65,CurrencyCodes,UnitsPerUSD))"),0.900001097)</f>
        <v>0.900001097</v>
      </c>
      <c r="R65" s="17">
        <f t="shared" si="3"/>
        <v>277777.4392</v>
      </c>
    </row>
    <row r="66">
      <c r="A66" s="7">
        <v>43926.1942390162</v>
      </c>
      <c r="B66" s="18" t="s">
        <v>18</v>
      </c>
      <c r="C66" s="19">
        <v>10.0</v>
      </c>
      <c r="D66" s="18" t="s">
        <v>291</v>
      </c>
      <c r="E66" s="18" t="s">
        <v>292</v>
      </c>
      <c r="F66" s="18" t="s">
        <v>293</v>
      </c>
      <c r="G66" s="19">
        <v>38350.0</v>
      </c>
      <c r="H66" s="21" t="s">
        <v>272</v>
      </c>
      <c r="I66" s="21" t="s">
        <v>39</v>
      </c>
      <c r="J66" s="11">
        <v>110000.0</v>
      </c>
      <c r="K66" s="21" t="s">
        <v>174</v>
      </c>
      <c r="L66" s="25">
        <v>43064.0</v>
      </c>
      <c r="M66" s="24" t="s">
        <v>294</v>
      </c>
      <c r="N66" s="12" t="s">
        <v>295</v>
      </c>
      <c r="O66" s="15">
        <f t="shared" si="1"/>
        <v>2017</v>
      </c>
      <c r="P66" s="16" t="str">
        <f t="shared" si="2"/>
        <v>EUR</v>
      </c>
      <c r="Q66" s="15">
        <f>IFERROR(__xludf.DUMMYFUNCTION("IFNA(INDEX(GOOGLEFINANCE(""Currency:USD""&amp;$P66,""price"",DATE(YEAR($L66),MONTH($L66),DAY($L66))),2,2),LOOKUP(P66,CurrencyCodes,UnitsPerUSD))"),0.83801)</f>
        <v>0.83801</v>
      </c>
      <c r="R66" s="17">
        <f t="shared" si="3"/>
        <v>131263.3501</v>
      </c>
    </row>
    <row r="67">
      <c r="A67" s="7">
        <v>43925.16340253472</v>
      </c>
      <c r="B67" s="18" t="s">
        <v>18</v>
      </c>
      <c r="C67" s="19">
        <v>88.0</v>
      </c>
      <c r="D67" s="18" t="s">
        <v>296</v>
      </c>
      <c r="E67" s="18" t="s">
        <v>273</v>
      </c>
      <c r="F67" s="18" t="s">
        <v>297</v>
      </c>
      <c r="G67" s="19">
        <v>45768.0</v>
      </c>
      <c r="H67" s="21" t="s">
        <v>272</v>
      </c>
      <c r="I67" s="21" t="s">
        <v>39</v>
      </c>
      <c r="J67" s="11">
        <v>269000.0</v>
      </c>
      <c r="K67" s="21" t="s">
        <v>174</v>
      </c>
      <c r="L67" s="25">
        <v>43661.0</v>
      </c>
      <c r="M67" s="24" t="s">
        <v>298</v>
      </c>
      <c r="N67" s="12" t="s">
        <v>299</v>
      </c>
      <c r="O67" s="15">
        <f t="shared" si="1"/>
        <v>2019</v>
      </c>
      <c r="P67" s="16" t="str">
        <f t="shared" si="2"/>
        <v>EUR</v>
      </c>
      <c r="Q67" s="15">
        <f>IFERROR(__xludf.DUMMYFUNCTION("IFNA(INDEX(GOOGLEFINANCE(""Currency:USD""&amp;$P67,""price"",DATE(YEAR($L67),MONTH($L67),DAY($L67))),2,2),LOOKUP(P67,CurrencyCodes,UnitsPerUSD))"),0.88799)</f>
        <v>0.88799</v>
      </c>
      <c r="R67" s="17">
        <f t="shared" si="3"/>
        <v>302931.3393</v>
      </c>
    </row>
    <row r="68">
      <c r="A68" s="7">
        <v>43925.05236876158</v>
      </c>
      <c r="B68" s="18" t="s">
        <v>18</v>
      </c>
      <c r="C68" s="9">
        <v>9.0</v>
      </c>
      <c r="D68" s="8" t="s">
        <v>300</v>
      </c>
      <c r="E68" s="18" t="s">
        <v>276</v>
      </c>
      <c r="F68" s="8" t="s">
        <v>301</v>
      </c>
      <c r="G68" s="9">
        <v>40549.0</v>
      </c>
      <c r="H68" s="21" t="s">
        <v>272</v>
      </c>
      <c r="I68" s="21" t="s">
        <v>39</v>
      </c>
      <c r="J68" s="11">
        <v>1200000.0</v>
      </c>
      <c r="K68" s="21" t="s">
        <v>174</v>
      </c>
      <c r="L68" s="25">
        <v>43816.0</v>
      </c>
      <c r="M68" s="14" t="s">
        <v>302</v>
      </c>
      <c r="N68" s="21"/>
      <c r="O68" s="15">
        <f t="shared" si="1"/>
        <v>2019</v>
      </c>
      <c r="P68" s="16" t="str">
        <f t="shared" si="2"/>
        <v>EUR</v>
      </c>
      <c r="Q68" s="15">
        <f>IFERROR(__xludf.DUMMYFUNCTION("IFNA(INDEX(GOOGLEFINANCE(""Currency:USD""&amp;$P68,""price"",DATE(YEAR($L68),MONTH($L68),DAY($L68))),2,2),LOOKUP(P68,CurrencyCodes,UnitsPerUSD))"),0.8967403)</f>
        <v>0.8967403</v>
      </c>
      <c r="R68" s="17">
        <f t="shared" si="3"/>
        <v>1338180.073</v>
      </c>
    </row>
    <row r="69">
      <c r="A69" s="7">
        <v>43925.38347180556</v>
      </c>
      <c r="B69" s="18" t="s">
        <v>18</v>
      </c>
      <c r="C69" s="19"/>
      <c r="D69" s="18" t="s">
        <v>303</v>
      </c>
      <c r="E69" s="18" t="s">
        <v>304</v>
      </c>
      <c r="F69" s="18" t="s">
        <v>305</v>
      </c>
      <c r="G69" s="19">
        <v>66822.0</v>
      </c>
      <c r="H69" s="21" t="s">
        <v>272</v>
      </c>
      <c r="I69" s="21" t="s">
        <v>39</v>
      </c>
      <c r="J69" s="11">
        <v>118000.0</v>
      </c>
      <c r="K69" s="21" t="s">
        <v>174</v>
      </c>
      <c r="L69" s="25">
        <v>43894.0</v>
      </c>
      <c r="M69" s="24" t="s">
        <v>306</v>
      </c>
      <c r="N69" s="27" t="s">
        <v>307</v>
      </c>
      <c r="O69" s="15">
        <f t="shared" si="1"/>
        <v>2020</v>
      </c>
      <c r="P69" s="16" t="str">
        <f t="shared" si="2"/>
        <v>EUR</v>
      </c>
      <c r="Q69" s="15">
        <f>IFERROR(__xludf.DUMMYFUNCTION("IFNA(INDEX(GOOGLEFINANCE(""Currency:USD""&amp;$P69,""price"",DATE(YEAR($L69),MONTH($L69),DAY($L69))),2,2),LOOKUP(P69,CurrencyCodes,UnitsPerUSD))"),0.89792)</f>
        <v>0.89792</v>
      </c>
      <c r="R69" s="17">
        <f t="shared" si="3"/>
        <v>131414.8254</v>
      </c>
    </row>
    <row r="70">
      <c r="A70" s="7">
        <v>43925.134050740744</v>
      </c>
      <c r="B70" s="8" t="s">
        <v>18</v>
      </c>
      <c r="C70" s="9">
        <v>18.0</v>
      </c>
      <c r="D70" s="8" t="s">
        <v>308</v>
      </c>
      <c r="E70" s="8" t="s">
        <v>293</v>
      </c>
      <c r="F70" s="8" t="s">
        <v>309</v>
      </c>
      <c r="G70" s="9">
        <v>38364.0</v>
      </c>
      <c r="H70" s="10" t="s">
        <v>272</v>
      </c>
      <c r="I70" s="10" t="s">
        <v>39</v>
      </c>
      <c r="J70" s="11">
        <v>130000.0</v>
      </c>
      <c r="K70" s="10" t="s">
        <v>174</v>
      </c>
      <c r="L70" s="25">
        <v>43064.0</v>
      </c>
      <c r="M70" s="28" t="s">
        <v>294</v>
      </c>
      <c r="N70" s="10" t="s">
        <v>310</v>
      </c>
      <c r="O70" s="15">
        <f t="shared" si="1"/>
        <v>2017</v>
      </c>
      <c r="P70" s="16" t="str">
        <f t="shared" si="2"/>
        <v>EUR</v>
      </c>
      <c r="Q70" s="15">
        <f>IFERROR(__xludf.DUMMYFUNCTION("IFNA(INDEX(GOOGLEFINANCE(""Currency:USD""&amp;$P70,""price"",DATE(YEAR($L70),MONTH($L70),DAY($L70))),2,2),LOOKUP(P70,CurrencyCodes,UnitsPerUSD))"),0.83801)</f>
        <v>0.83801</v>
      </c>
      <c r="R70" s="17">
        <f t="shared" si="3"/>
        <v>155129.4137</v>
      </c>
    </row>
    <row r="71">
      <c r="A71" s="7">
        <v>43925.37770940972</v>
      </c>
      <c r="B71" s="18" t="s">
        <v>18</v>
      </c>
      <c r="C71" s="19">
        <v>52.0</v>
      </c>
      <c r="D71" s="18" t="s">
        <v>311</v>
      </c>
      <c r="E71" s="18" t="s">
        <v>312</v>
      </c>
      <c r="F71" s="18" t="s">
        <v>313</v>
      </c>
      <c r="G71" s="19">
        <v>59872.0</v>
      </c>
      <c r="H71" s="21" t="s">
        <v>272</v>
      </c>
      <c r="I71" s="21" t="s">
        <v>39</v>
      </c>
      <c r="J71" s="11">
        <v>165300.0</v>
      </c>
      <c r="K71" s="21" t="s">
        <v>174</v>
      </c>
      <c r="L71" s="25">
        <v>42277.0</v>
      </c>
      <c r="M71" s="31" t="s">
        <v>314</v>
      </c>
      <c r="N71" s="21"/>
      <c r="O71" s="15">
        <f t="shared" si="1"/>
        <v>2015</v>
      </c>
      <c r="P71" s="16" t="str">
        <f t="shared" si="2"/>
        <v>EUR</v>
      </c>
      <c r="Q71" s="15">
        <f>IFERROR(__xludf.DUMMYFUNCTION("IFNA(INDEX(GOOGLEFINANCE(""Currency:USD""&amp;$P71,""price"",DATE(YEAR($L71),MONTH($L71),DAY($L71))),2,2),LOOKUP(P71,CurrencyCodes,UnitsPerUSD))"),0.89509)</f>
        <v>0.89509</v>
      </c>
      <c r="R71" s="17">
        <f t="shared" si="3"/>
        <v>184674.1668</v>
      </c>
    </row>
    <row r="72">
      <c r="A72" s="7">
        <v>43925.36852642361</v>
      </c>
      <c r="B72" s="18" t="s">
        <v>18</v>
      </c>
      <c r="C72" s="19">
        <v>15.0</v>
      </c>
      <c r="D72" s="18" t="s">
        <v>315</v>
      </c>
      <c r="E72" s="18" t="s">
        <v>316</v>
      </c>
      <c r="F72" s="18" t="s">
        <v>317</v>
      </c>
      <c r="G72" s="19">
        <v>49525.0</v>
      </c>
      <c r="H72" s="21" t="s">
        <v>272</v>
      </c>
      <c r="I72" s="21" t="s">
        <v>24</v>
      </c>
      <c r="J72" s="11">
        <v>200000.0</v>
      </c>
      <c r="K72" s="21" t="s">
        <v>174</v>
      </c>
      <c r="L72" s="25">
        <v>43523.0</v>
      </c>
      <c r="M72" s="31" t="s">
        <v>318</v>
      </c>
      <c r="N72" s="10"/>
      <c r="O72" s="15">
        <f t="shared" si="1"/>
        <v>2019</v>
      </c>
      <c r="P72" s="16" t="str">
        <f t="shared" si="2"/>
        <v>EUR</v>
      </c>
      <c r="Q72" s="15">
        <f>IFERROR(__xludf.DUMMYFUNCTION("IFNA(INDEX(GOOGLEFINANCE(""Currency:USD""&amp;$P72,""price"",DATE(YEAR($L72),MONTH($L72),DAY($L72))),2,2),LOOKUP(P72,CurrencyCodes,UnitsPerUSD))"),0.87872)</f>
        <v>0.87872</v>
      </c>
      <c r="R72" s="17">
        <f t="shared" si="3"/>
        <v>227603.7873</v>
      </c>
    </row>
    <row r="73">
      <c r="A73" s="7">
        <v>43923.86074950232</v>
      </c>
      <c r="B73" s="18" t="s">
        <v>18</v>
      </c>
      <c r="C73" s="19" t="s">
        <v>319</v>
      </c>
      <c r="D73" s="18" t="s">
        <v>320</v>
      </c>
      <c r="E73" s="18" t="s">
        <v>321</v>
      </c>
      <c r="F73" s="18"/>
      <c r="G73" s="19">
        <v>97769.0</v>
      </c>
      <c r="H73" s="21" t="s">
        <v>272</v>
      </c>
      <c r="I73" s="21" t="s">
        <v>24</v>
      </c>
      <c r="J73" s="11">
        <v>110000.0</v>
      </c>
      <c r="K73" s="21" t="s">
        <v>174</v>
      </c>
      <c r="L73" s="25">
        <v>43886.0</v>
      </c>
      <c r="M73" s="14" t="s">
        <v>322</v>
      </c>
      <c r="N73" s="10"/>
      <c r="O73" s="15">
        <f t="shared" si="1"/>
        <v>2020</v>
      </c>
      <c r="P73" s="16" t="str">
        <f t="shared" si="2"/>
        <v>EUR</v>
      </c>
      <c r="Q73" s="15">
        <f>IFERROR(__xludf.DUMMYFUNCTION("IFNA(INDEX(GOOGLEFINANCE(""Currency:USD""&amp;$P73,""price"",DATE(YEAR($L73),MONTH($L73),DAY($L73))),2,2),LOOKUP(P73,CurrencyCodes,UnitsPerUSD))"),0.9190754)</f>
        <v>0.9190754</v>
      </c>
      <c r="R73" s="17">
        <f t="shared" si="3"/>
        <v>119685.5013</v>
      </c>
    </row>
    <row r="74">
      <c r="A74" s="7">
        <v>43923.023003738424</v>
      </c>
      <c r="B74" s="18" t="s">
        <v>18</v>
      </c>
      <c r="C74" s="19">
        <v>2.0</v>
      </c>
      <c r="D74" s="18" t="s">
        <v>323</v>
      </c>
      <c r="E74" s="18" t="s">
        <v>324</v>
      </c>
      <c r="F74" s="18"/>
      <c r="G74" s="19">
        <v>73540.0</v>
      </c>
      <c r="H74" s="21" t="s">
        <v>272</v>
      </c>
      <c r="I74" s="21" t="s">
        <v>24</v>
      </c>
      <c r="J74" s="11">
        <v>275000.0</v>
      </c>
      <c r="K74" s="21" t="s">
        <v>174</v>
      </c>
      <c r="L74" s="22"/>
      <c r="M74" s="31" t="s">
        <v>325</v>
      </c>
      <c r="N74" s="10"/>
      <c r="O74" s="15" t="str">
        <f t="shared" si="1"/>
        <v>Unknown</v>
      </c>
      <c r="P74" s="16" t="str">
        <f t="shared" si="2"/>
        <v>EUR</v>
      </c>
      <c r="Q74" s="15">
        <f>IFERROR(__xludf.DUMMYFUNCTION("IFNA(INDEX(GOOGLEFINANCE(""Currency:USD""&amp;$P74,""price"",DATE(YEAR($L74),MONTH($L74),DAY($L74))),2,2),LOOKUP(P74,CurrencyCodes,UnitsPerUSD))"),0.900001097)</f>
        <v>0.900001097</v>
      </c>
      <c r="R74" s="17">
        <f t="shared" si="3"/>
        <v>305555.1831</v>
      </c>
    </row>
    <row r="75">
      <c r="A75" s="7">
        <v>43923.02958587963</v>
      </c>
      <c r="B75" s="8" t="s">
        <v>18</v>
      </c>
      <c r="C75" s="9">
        <v>6.0</v>
      </c>
      <c r="D75" s="8" t="s">
        <v>326</v>
      </c>
      <c r="E75" s="8" t="s">
        <v>327</v>
      </c>
      <c r="F75" s="8"/>
      <c r="G75" s="9">
        <v>47647.0</v>
      </c>
      <c r="H75" s="10" t="s">
        <v>272</v>
      </c>
      <c r="I75" s="10" t="s">
        <v>24</v>
      </c>
      <c r="J75" s="11">
        <v>349000.0</v>
      </c>
      <c r="K75" s="10" t="s">
        <v>174</v>
      </c>
      <c r="L75" s="22"/>
      <c r="M75" s="14" t="s">
        <v>328</v>
      </c>
      <c r="N75" s="10"/>
      <c r="O75" s="15" t="str">
        <f t="shared" si="1"/>
        <v>Unknown</v>
      </c>
      <c r="P75" s="16" t="str">
        <f t="shared" si="2"/>
        <v>EUR</v>
      </c>
      <c r="Q75" s="15">
        <f>IFERROR(__xludf.DUMMYFUNCTION("IFNA(INDEX(GOOGLEFINANCE(""Currency:USD""&amp;$P75,""price"",DATE(YEAR($L75),MONTH($L75),DAY($L75))),2,2),LOOKUP(P75,CurrencyCodes,UnitsPerUSD))"),0.900001097)</f>
        <v>0.900001097</v>
      </c>
      <c r="R75" s="17">
        <f t="shared" si="3"/>
        <v>387777.3051</v>
      </c>
    </row>
    <row r="76">
      <c r="A76" s="7">
        <v>43901.933801747684</v>
      </c>
      <c r="B76" s="8" t="s">
        <v>18</v>
      </c>
      <c r="C76" s="9"/>
      <c r="D76" s="8"/>
      <c r="E76" s="8" t="s">
        <v>329</v>
      </c>
      <c r="F76" s="8"/>
      <c r="G76" s="9">
        <v>50171.0</v>
      </c>
      <c r="H76" s="10" t="s">
        <v>272</v>
      </c>
      <c r="I76" s="10" t="s">
        <v>24</v>
      </c>
      <c r="J76" s="11">
        <v>150000.0</v>
      </c>
      <c r="K76" s="10" t="s">
        <v>174</v>
      </c>
      <c r="L76" s="13"/>
      <c r="M76" s="14" t="s">
        <v>330</v>
      </c>
      <c r="N76" s="10"/>
      <c r="O76" s="15" t="str">
        <f t="shared" si="1"/>
        <v>Unknown</v>
      </c>
      <c r="P76" s="16" t="str">
        <f t="shared" si="2"/>
        <v>EUR</v>
      </c>
      <c r="Q76" s="15">
        <f>IFERROR(__xludf.DUMMYFUNCTION("IFNA(INDEX(GOOGLEFINANCE(""Currency:USD""&amp;$P76,""price"",DATE(YEAR($L76),MONTH($L76),DAY($L76))),2,2),LOOKUP(P76,CurrencyCodes,UnitsPerUSD))"),0.900001097)</f>
        <v>0.900001097</v>
      </c>
      <c r="R76" s="17">
        <f t="shared" si="3"/>
        <v>166666.4635</v>
      </c>
    </row>
    <row r="77">
      <c r="A77" s="7">
        <v>43925.184788900464</v>
      </c>
      <c r="B77" s="18" t="s">
        <v>18</v>
      </c>
      <c r="C77" s="19" t="s">
        <v>331</v>
      </c>
      <c r="D77" s="18" t="s">
        <v>332</v>
      </c>
      <c r="E77" s="18" t="s">
        <v>333</v>
      </c>
      <c r="F77" s="18"/>
      <c r="G77" s="19">
        <v>84453.0</v>
      </c>
      <c r="H77" s="21" t="s">
        <v>272</v>
      </c>
      <c r="I77" s="21" t="s">
        <v>24</v>
      </c>
      <c r="J77" s="11">
        <v>0.0</v>
      </c>
      <c r="K77" s="21" t="s">
        <v>174</v>
      </c>
      <c r="L77" s="22"/>
      <c r="M77" s="31" t="s">
        <v>334</v>
      </c>
      <c r="N77" s="10"/>
      <c r="O77" s="15" t="str">
        <f t="shared" si="1"/>
        <v>Unknown</v>
      </c>
      <c r="P77" s="16" t="str">
        <f t="shared" si="2"/>
        <v>EUR</v>
      </c>
      <c r="Q77" s="15">
        <f>IFERROR(__xludf.DUMMYFUNCTION("IFNA(INDEX(GOOGLEFINANCE(""Currency:USD""&amp;$P77,""price"",DATE(YEAR($L77),MONTH($L77),DAY($L77))),2,2),LOOKUP(P77,CurrencyCodes,UnitsPerUSD))"),0.900001097)</f>
        <v>0.900001097</v>
      </c>
      <c r="R77" s="17">
        <f t="shared" si="3"/>
        <v>0</v>
      </c>
    </row>
    <row r="78">
      <c r="A78" s="7">
        <v>43901.953321203706</v>
      </c>
      <c r="B78" s="18" t="s">
        <v>18</v>
      </c>
      <c r="C78" s="9"/>
      <c r="D78" s="18"/>
      <c r="E78" s="18" t="s">
        <v>335</v>
      </c>
      <c r="F78" s="8"/>
      <c r="G78" s="19">
        <v>45657.0</v>
      </c>
      <c r="H78" s="21" t="s">
        <v>272</v>
      </c>
      <c r="I78" s="21" t="s">
        <v>24</v>
      </c>
      <c r="J78" s="11">
        <v>249000.0</v>
      </c>
      <c r="K78" s="21" t="s">
        <v>174</v>
      </c>
      <c r="L78" s="22"/>
      <c r="M78" s="31" t="s">
        <v>336</v>
      </c>
      <c r="N78" s="21"/>
      <c r="O78" s="15" t="str">
        <f t="shared" si="1"/>
        <v>Unknown</v>
      </c>
      <c r="P78" s="16" t="str">
        <f t="shared" si="2"/>
        <v>EUR</v>
      </c>
      <c r="Q78" s="15">
        <f>IFERROR(__xludf.DUMMYFUNCTION("IFNA(INDEX(GOOGLEFINANCE(""Currency:USD""&amp;$P78,""price"",DATE(YEAR($L78),MONTH($L78),DAY($L78))),2,2),LOOKUP(P78,CurrencyCodes,UnitsPerUSD))"),0.900001097)</f>
        <v>0.900001097</v>
      </c>
      <c r="R78" s="17">
        <f t="shared" si="3"/>
        <v>276666.3294</v>
      </c>
    </row>
    <row r="79">
      <c r="A79" s="7">
        <v>43940.88703520833</v>
      </c>
      <c r="B79" s="18" t="s">
        <v>18</v>
      </c>
      <c r="C79" s="9">
        <v>3.0</v>
      </c>
      <c r="D79" s="18" t="s">
        <v>337</v>
      </c>
      <c r="E79" s="18" t="s">
        <v>338</v>
      </c>
      <c r="F79" s="8"/>
      <c r="G79" s="9">
        <v>33189.0</v>
      </c>
      <c r="H79" s="21" t="s">
        <v>272</v>
      </c>
      <c r="I79" s="21" t="s">
        <v>24</v>
      </c>
      <c r="J79" s="11">
        <v>320000.0</v>
      </c>
      <c r="K79" s="21" t="s">
        <v>174</v>
      </c>
      <c r="L79" s="25">
        <v>43933.0</v>
      </c>
      <c r="M79" s="24" t="s">
        <v>339</v>
      </c>
      <c r="N79" s="12" t="s">
        <v>340</v>
      </c>
      <c r="O79" s="15">
        <f t="shared" si="1"/>
        <v>2020</v>
      </c>
      <c r="P79" s="16" t="str">
        <f t="shared" si="2"/>
        <v>EUR</v>
      </c>
      <c r="Q79" s="15">
        <f>IFERROR(__xludf.DUMMYFUNCTION("IFNA(INDEX(GOOGLEFINANCE(""Currency:USD""&amp;$P79,""price"",DATE(YEAR($L79),MONTH($L79),DAY($L79))),2,2),LOOKUP(P79,CurrencyCodes,UnitsPerUSD))"),0.914845)</f>
        <v>0.914845</v>
      </c>
      <c r="R79" s="17">
        <f t="shared" si="3"/>
        <v>349786.0293</v>
      </c>
    </row>
    <row r="80">
      <c r="A80" s="7">
        <v>43925.189159664355</v>
      </c>
      <c r="B80" s="18" t="s">
        <v>18</v>
      </c>
      <c r="C80" s="19">
        <v>93.0</v>
      </c>
      <c r="D80" s="18" t="s">
        <v>341</v>
      </c>
      <c r="E80" s="18" t="s">
        <v>342</v>
      </c>
      <c r="F80" s="18"/>
      <c r="G80" s="19">
        <v>92421.0</v>
      </c>
      <c r="H80" s="21" t="s">
        <v>272</v>
      </c>
      <c r="I80" s="21" t="s">
        <v>24</v>
      </c>
      <c r="J80" s="11">
        <v>349000.0</v>
      </c>
      <c r="K80" s="21" t="s">
        <v>174</v>
      </c>
      <c r="L80" s="22"/>
      <c r="M80" s="14" t="s">
        <v>343</v>
      </c>
      <c r="N80" s="21"/>
      <c r="O80" s="15" t="str">
        <f t="shared" si="1"/>
        <v>Unknown</v>
      </c>
      <c r="P80" s="16" t="str">
        <f t="shared" si="2"/>
        <v>EUR</v>
      </c>
      <c r="Q80" s="15">
        <f>IFERROR(__xludf.DUMMYFUNCTION("IFNA(INDEX(GOOGLEFINANCE(""Currency:USD""&amp;$P80,""price"",DATE(YEAR($L80),MONTH($L80),DAY($L80))),2,2),LOOKUP(P80,CurrencyCodes,UnitsPerUSD))"),0.900001097)</f>
        <v>0.900001097</v>
      </c>
      <c r="R80" s="17">
        <f t="shared" si="3"/>
        <v>387777.3051</v>
      </c>
    </row>
    <row r="81">
      <c r="A81" s="7">
        <v>43925.05796498843</v>
      </c>
      <c r="B81" s="18" t="s">
        <v>18</v>
      </c>
      <c r="C81" s="19">
        <v>68.0</v>
      </c>
      <c r="D81" s="18" t="s">
        <v>344</v>
      </c>
      <c r="E81" s="18" t="s">
        <v>345</v>
      </c>
      <c r="F81" s="18"/>
      <c r="G81" s="19">
        <v>70180.0</v>
      </c>
      <c r="H81" s="21" t="s">
        <v>272</v>
      </c>
      <c r="I81" s="21" t="s">
        <v>39</v>
      </c>
      <c r="J81" s="11">
        <v>1590000.0</v>
      </c>
      <c r="K81" s="21" t="s">
        <v>174</v>
      </c>
      <c r="L81" s="25">
        <v>43670.0</v>
      </c>
      <c r="M81" s="31" t="s">
        <v>346</v>
      </c>
      <c r="N81" s="10"/>
      <c r="O81" s="15">
        <f t="shared" si="1"/>
        <v>2019</v>
      </c>
      <c r="P81" s="16" t="str">
        <f t="shared" si="2"/>
        <v>EUR</v>
      </c>
      <c r="Q81" s="15">
        <f>IFERROR(__xludf.DUMMYFUNCTION("IFNA(INDEX(GOOGLEFINANCE(""Currency:USD""&amp;$P81,""price"",DATE(YEAR($L81),MONTH($L81),DAY($L81))),2,2),LOOKUP(P81,CurrencyCodes,UnitsPerUSD))"),0.8975)</f>
        <v>0.8975</v>
      </c>
      <c r="R81" s="17">
        <f t="shared" si="3"/>
        <v>1771587.744</v>
      </c>
    </row>
    <row r="82">
      <c r="A82" s="7">
        <v>43901.95462605324</v>
      </c>
      <c r="B82" s="18" t="s">
        <v>18</v>
      </c>
      <c r="C82" s="19"/>
      <c r="D82" s="18"/>
      <c r="E82" s="18" t="s">
        <v>347</v>
      </c>
      <c r="F82" s="18"/>
      <c r="G82" s="9">
        <v>32602.0</v>
      </c>
      <c r="H82" s="21" t="s">
        <v>272</v>
      </c>
      <c r="I82" s="21" t="s">
        <v>24</v>
      </c>
      <c r="J82" s="11">
        <v>159000.0</v>
      </c>
      <c r="K82" s="21" t="s">
        <v>174</v>
      </c>
      <c r="L82" s="22"/>
      <c r="M82" s="31" t="s">
        <v>348</v>
      </c>
      <c r="N82" s="21"/>
      <c r="O82" s="15" t="str">
        <f t="shared" si="1"/>
        <v>Unknown</v>
      </c>
      <c r="P82" s="16" t="str">
        <f t="shared" si="2"/>
        <v>EUR</v>
      </c>
      <c r="Q82" s="15">
        <f>IFERROR(__xludf.DUMMYFUNCTION("IFNA(INDEX(GOOGLEFINANCE(""Currency:USD""&amp;$P82,""price"",DATE(YEAR($L82),MONTH($L82),DAY($L82))),2,2),LOOKUP(P82,CurrencyCodes,UnitsPerUSD))"),0.900001097)</f>
        <v>0.900001097</v>
      </c>
      <c r="R82" s="17">
        <f t="shared" si="3"/>
        <v>176666.4513</v>
      </c>
    </row>
    <row r="83">
      <c r="A83" s="7">
        <v>43925.17693710648</v>
      </c>
      <c r="B83" s="18" t="s">
        <v>18</v>
      </c>
      <c r="C83" s="19">
        <v>14.0</v>
      </c>
      <c r="D83" s="18" t="s">
        <v>349</v>
      </c>
      <c r="E83" s="18" t="s">
        <v>350</v>
      </c>
      <c r="F83" s="18"/>
      <c r="G83" s="19">
        <v>79576.0</v>
      </c>
      <c r="H83" s="21" t="s">
        <v>272</v>
      </c>
      <c r="I83" s="21" t="s">
        <v>39</v>
      </c>
      <c r="J83" s="11">
        <v>0.0</v>
      </c>
      <c r="K83" s="21" t="s">
        <v>174</v>
      </c>
      <c r="L83" s="25">
        <v>42248.0</v>
      </c>
      <c r="M83" s="31" t="s">
        <v>351</v>
      </c>
      <c r="N83" s="21"/>
      <c r="O83" s="15">
        <f t="shared" si="1"/>
        <v>2015</v>
      </c>
      <c r="P83" s="16" t="str">
        <f t="shared" si="2"/>
        <v>EUR</v>
      </c>
      <c r="Q83" s="15">
        <f>IFERROR(__xludf.DUMMYFUNCTION("IFNA(INDEX(GOOGLEFINANCE(""Currency:USD""&amp;$P83,""price"",DATE(YEAR($L83),MONTH($L83),DAY($L83))),2,2),LOOKUP(P83,CurrencyCodes,UnitsPerUSD))"),0.88547)</f>
        <v>0.88547</v>
      </c>
      <c r="R83" s="17">
        <f t="shared" si="3"/>
        <v>0</v>
      </c>
    </row>
    <row r="84">
      <c r="A84" s="7">
        <v>43964.40206533565</v>
      </c>
      <c r="B84" s="8" t="s">
        <v>18</v>
      </c>
      <c r="C84" s="9">
        <v>4.0</v>
      </c>
      <c r="D84" s="8" t="s">
        <v>352</v>
      </c>
      <c r="E84" s="8" t="s">
        <v>353</v>
      </c>
      <c r="F84" s="8"/>
      <c r="G84" s="9">
        <v>42929.0</v>
      </c>
      <c r="H84" s="10" t="s">
        <v>272</v>
      </c>
      <c r="I84" s="10" t="s">
        <v>39</v>
      </c>
      <c r="J84" s="11">
        <v>320000.0</v>
      </c>
      <c r="K84" s="10" t="s">
        <v>174</v>
      </c>
      <c r="L84" s="25">
        <v>43731.0</v>
      </c>
      <c r="M84" s="14" t="s">
        <v>354</v>
      </c>
      <c r="N84" s="10"/>
      <c r="O84" s="15">
        <f t="shared" si="1"/>
        <v>2019</v>
      </c>
      <c r="P84" s="16" t="str">
        <f t="shared" si="2"/>
        <v>EUR</v>
      </c>
      <c r="Q84" s="15">
        <f>IFERROR(__xludf.DUMMYFUNCTION("IFNA(INDEX(GOOGLEFINANCE(""Currency:USD""&amp;$P84,""price"",DATE(YEAR($L84),MONTH($L84),DAY($L84))),2,2),LOOKUP(P84,CurrencyCodes,UnitsPerUSD))"),0.909675)</f>
        <v>0.909675</v>
      </c>
      <c r="R84" s="17">
        <f t="shared" si="3"/>
        <v>351773.9852</v>
      </c>
    </row>
    <row r="85">
      <c r="A85" s="7">
        <v>43925.167175069444</v>
      </c>
      <c r="B85" s="18" t="s">
        <v>18</v>
      </c>
      <c r="C85" s="9">
        <v>6.0</v>
      </c>
      <c r="D85" s="18" t="s">
        <v>355</v>
      </c>
      <c r="E85" s="18" t="s">
        <v>356</v>
      </c>
      <c r="F85" s="8"/>
      <c r="G85" s="19">
        <v>26388.0</v>
      </c>
      <c r="H85" s="21" t="s">
        <v>272</v>
      </c>
      <c r="I85" s="21" t="s">
        <v>24</v>
      </c>
      <c r="J85" s="11">
        <v>169000.0</v>
      </c>
      <c r="K85" s="21" t="s">
        <v>174</v>
      </c>
      <c r="L85" s="22"/>
      <c r="M85" s="31" t="s">
        <v>357</v>
      </c>
      <c r="N85" s="21"/>
      <c r="O85" s="15" t="str">
        <f t="shared" si="1"/>
        <v>Unknown</v>
      </c>
      <c r="P85" s="16" t="str">
        <f t="shared" si="2"/>
        <v>EUR</v>
      </c>
      <c r="Q85" s="15">
        <f>IFERROR(__xludf.DUMMYFUNCTION("IFNA(INDEX(GOOGLEFINANCE(""Currency:USD""&amp;$P85,""price"",DATE(YEAR($L85),MONTH($L85),DAY($L85))),2,2),LOOKUP(P85,CurrencyCodes,UnitsPerUSD))"),0.900001097)</f>
        <v>0.900001097</v>
      </c>
      <c r="R85" s="17">
        <f t="shared" si="3"/>
        <v>187777.5489</v>
      </c>
    </row>
    <row r="86">
      <c r="A86" s="7">
        <v>43925.37218225695</v>
      </c>
      <c r="B86" s="18" t="s">
        <v>18</v>
      </c>
      <c r="C86" s="19">
        <v>14.0</v>
      </c>
      <c r="D86" s="18" t="s">
        <v>358</v>
      </c>
      <c r="E86" s="18" t="s">
        <v>359</v>
      </c>
      <c r="F86" s="18"/>
      <c r="G86" s="19"/>
      <c r="H86" s="21" t="s">
        <v>272</v>
      </c>
      <c r="I86" s="21" t="s">
        <v>24</v>
      </c>
      <c r="J86" s="11">
        <v>340000.0</v>
      </c>
      <c r="K86" s="21" t="s">
        <v>174</v>
      </c>
      <c r="L86" s="25">
        <v>42745.0</v>
      </c>
      <c r="M86" s="31" t="s">
        <v>360</v>
      </c>
      <c r="N86" s="10"/>
      <c r="O86" s="15">
        <f t="shared" si="1"/>
        <v>2017</v>
      </c>
      <c r="P86" s="16" t="str">
        <f t="shared" si="2"/>
        <v>EUR</v>
      </c>
      <c r="Q86" s="15">
        <f>IFERROR(__xludf.DUMMYFUNCTION("IFNA(INDEX(GOOGLEFINANCE(""Currency:USD""&amp;$P86,""price"",DATE(YEAR($L86),MONTH($L86),DAY($L86))),2,2),LOOKUP(P86,CurrencyCodes,UnitsPerUSD))"),0.94765)</f>
        <v>0.94765</v>
      </c>
      <c r="R86" s="17">
        <f t="shared" si="3"/>
        <v>358782.2508</v>
      </c>
    </row>
    <row r="87">
      <c r="A87" s="7">
        <v>43901.84331246528</v>
      </c>
      <c r="B87" s="18" t="s">
        <v>250</v>
      </c>
      <c r="C87" s="9">
        <v>77.0</v>
      </c>
      <c r="D87" s="8" t="s">
        <v>361</v>
      </c>
      <c r="E87" s="18" t="s">
        <v>362</v>
      </c>
      <c r="F87" s="18"/>
      <c r="G87" s="19"/>
      <c r="H87" s="21" t="s">
        <v>363</v>
      </c>
      <c r="I87" s="21" t="s">
        <v>24</v>
      </c>
      <c r="J87" s="11">
        <v>0.0</v>
      </c>
      <c r="K87" s="21" t="s">
        <v>174</v>
      </c>
      <c r="L87" s="22"/>
      <c r="M87" s="31" t="s">
        <v>364</v>
      </c>
      <c r="N87" s="10"/>
      <c r="O87" s="15" t="str">
        <f t="shared" si="1"/>
        <v>Unknown</v>
      </c>
      <c r="P87" s="16" t="str">
        <f t="shared" si="2"/>
        <v>EUR</v>
      </c>
      <c r="Q87" s="15">
        <f>IFERROR(__xludf.DUMMYFUNCTION("IFNA(INDEX(GOOGLEFINANCE(""Currency:USD""&amp;$P87,""price"",DATE(YEAR($L87),MONTH($L87),DAY($L87))),2,2),LOOKUP(P87,CurrencyCodes,UnitsPerUSD))"),0.900001097)</f>
        <v>0.900001097</v>
      </c>
      <c r="R87" s="17">
        <f t="shared" si="3"/>
        <v>0</v>
      </c>
    </row>
    <row r="88">
      <c r="A88" s="7">
        <v>43931.5500259838</v>
      </c>
      <c r="B88" s="18" t="s">
        <v>250</v>
      </c>
      <c r="C88" s="19" t="s">
        <v>365</v>
      </c>
      <c r="D88" s="18" t="s">
        <v>366</v>
      </c>
      <c r="E88" s="18" t="s">
        <v>367</v>
      </c>
      <c r="F88" s="18" t="s">
        <v>368</v>
      </c>
      <c r="G88" s="19" t="s">
        <v>369</v>
      </c>
      <c r="H88" s="21" t="s">
        <v>370</v>
      </c>
      <c r="I88" s="21" t="s">
        <v>39</v>
      </c>
      <c r="J88" s="11">
        <v>5.2E8</v>
      </c>
      <c r="K88" s="21" t="s">
        <v>371</v>
      </c>
      <c r="L88" s="25">
        <v>42339.0</v>
      </c>
      <c r="M88" s="24" t="s">
        <v>372</v>
      </c>
      <c r="N88" s="12" t="s">
        <v>373</v>
      </c>
      <c r="O88" s="15">
        <f t="shared" si="1"/>
        <v>2015</v>
      </c>
      <c r="P88" s="16" t="str">
        <f t="shared" si="2"/>
        <v>HKD</v>
      </c>
      <c r="Q88" s="15">
        <f>IFERROR(__xludf.DUMMYFUNCTION("IFNA(INDEX(GOOGLEFINANCE(""Currency:USD""&amp;$P88,""price"",DATE(YEAR($L88),MONTH($L88),DAY($L88))),2,2),LOOKUP(P88,CurrencyCodes,UnitsPerUSD))"),7.75109)</f>
        <v>7.75109</v>
      </c>
      <c r="R88" s="17">
        <f t="shared" si="3"/>
        <v>67087338.68</v>
      </c>
    </row>
    <row r="89">
      <c r="A89" s="7">
        <v>43952.28947202546</v>
      </c>
      <c r="B89" s="18" t="s">
        <v>250</v>
      </c>
      <c r="C89" s="19"/>
      <c r="D89" s="18" t="s">
        <v>374</v>
      </c>
      <c r="E89" s="18" t="s">
        <v>375</v>
      </c>
      <c r="F89" s="18" t="s">
        <v>376</v>
      </c>
      <c r="G89" s="19"/>
      <c r="H89" s="21" t="s">
        <v>377</v>
      </c>
      <c r="I89" s="21" t="s">
        <v>39</v>
      </c>
      <c r="J89" s="11">
        <v>4500000.0</v>
      </c>
      <c r="K89" s="21" t="s">
        <v>174</v>
      </c>
      <c r="L89" s="25">
        <v>40846.0</v>
      </c>
      <c r="M89" s="24" t="s">
        <v>378</v>
      </c>
      <c r="N89" s="10" t="s">
        <v>379</v>
      </c>
      <c r="O89" s="15">
        <f t="shared" si="1"/>
        <v>2011</v>
      </c>
      <c r="P89" s="16" t="str">
        <f t="shared" si="2"/>
        <v>EUR</v>
      </c>
      <c r="Q89" s="15">
        <f>IFERROR(__xludf.DUMMYFUNCTION("IFNA(INDEX(GOOGLEFINANCE(""Currency:USD""&amp;$P89,""price"",DATE(YEAR($L89),MONTH($L89),DAY($L89))),2,2),LOOKUP(P89,CurrencyCodes,UnitsPerUSD))"),0.70703)</f>
        <v>0.70703</v>
      </c>
      <c r="R89" s="17">
        <f t="shared" si="3"/>
        <v>6364652.136</v>
      </c>
    </row>
    <row r="90">
      <c r="A90" s="7">
        <v>43905.44126070602</v>
      </c>
      <c r="B90" s="18" t="s">
        <v>18</v>
      </c>
      <c r="C90" s="19"/>
      <c r="D90" s="18"/>
      <c r="E90" s="18" t="s">
        <v>380</v>
      </c>
      <c r="F90" s="18" t="s">
        <v>381</v>
      </c>
      <c r="G90" s="19">
        <v>93012.0</v>
      </c>
      <c r="H90" s="21" t="s">
        <v>382</v>
      </c>
      <c r="I90" s="21" t="s">
        <v>39</v>
      </c>
      <c r="J90" s="11">
        <v>0.0</v>
      </c>
      <c r="K90" s="21" t="s">
        <v>174</v>
      </c>
      <c r="L90" s="22"/>
      <c r="M90" s="21"/>
      <c r="N90" s="10" t="s">
        <v>175</v>
      </c>
      <c r="O90" s="15" t="str">
        <f t="shared" si="1"/>
        <v>Unknown</v>
      </c>
      <c r="P90" s="16" t="str">
        <f t="shared" si="2"/>
        <v>EUR</v>
      </c>
      <c r="Q90" s="15">
        <f>IFERROR(__xludf.DUMMYFUNCTION("IFNA(INDEX(GOOGLEFINANCE(""Currency:USD""&amp;$P90,""price"",DATE(YEAR($L90),MONTH($L90),DAY($L90))),2,2),LOOKUP(P90,CurrencyCodes,UnitsPerUSD))"),0.900001097)</f>
        <v>0.900001097</v>
      </c>
      <c r="R90" s="17">
        <f t="shared" si="3"/>
        <v>0</v>
      </c>
    </row>
    <row r="91">
      <c r="A91" s="7">
        <v>43908.9038803588</v>
      </c>
      <c r="B91" s="18" t="s">
        <v>18</v>
      </c>
      <c r="C91" s="19"/>
      <c r="D91" s="18"/>
      <c r="E91" s="20" t="s">
        <v>383</v>
      </c>
      <c r="F91" s="18"/>
      <c r="G91" s="19"/>
      <c r="H91" s="21" t="s">
        <v>384</v>
      </c>
      <c r="I91" s="21" t="s">
        <v>24</v>
      </c>
      <c r="J91" s="11">
        <v>0.0</v>
      </c>
      <c r="K91" s="21" t="s">
        <v>385</v>
      </c>
      <c r="L91" s="22"/>
      <c r="M91" s="31" t="s">
        <v>386</v>
      </c>
      <c r="N91" s="10"/>
      <c r="O91" s="15" t="str">
        <f t="shared" si="1"/>
        <v>Unknown</v>
      </c>
      <c r="P91" s="16" t="str">
        <f t="shared" si="2"/>
        <v>JMD</v>
      </c>
      <c r="Q91" s="15">
        <f>IFERROR(__xludf.DUMMYFUNCTION("IFNA(INDEX(GOOGLEFINANCE(""Currency:USD""&amp;$P91,""price"",DATE(YEAR($L91),MONTH($L91),DAY($L91))),2,2),LOOKUP(P91,CurrencyCodes,UnitsPerUSD))"),134.8418838222)</f>
        <v>134.8418838</v>
      </c>
      <c r="R91" s="17">
        <f t="shared" si="3"/>
        <v>0</v>
      </c>
    </row>
    <row r="92">
      <c r="A92" s="7">
        <v>43908.9006803125</v>
      </c>
      <c r="B92" s="18" t="s">
        <v>18</v>
      </c>
      <c r="C92" s="19"/>
      <c r="D92" s="18" t="s">
        <v>387</v>
      </c>
      <c r="E92" s="18" t="s">
        <v>388</v>
      </c>
      <c r="F92" s="18"/>
      <c r="G92" s="19"/>
      <c r="H92" s="21" t="s">
        <v>384</v>
      </c>
      <c r="I92" s="21" t="s">
        <v>24</v>
      </c>
      <c r="J92" s="11">
        <v>0.0</v>
      </c>
      <c r="K92" s="21" t="s">
        <v>385</v>
      </c>
      <c r="L92" s="22"/>
      <c r="M92" s="31" t="s">
        <v>386</v>
      </c>
      <c r="N92" s="10"/>
      <c r="O92" s="15" t="str">
        <f t="shared" si="1"/>
        <v>Unknown</v>
      </c>
      <c r="P92" s="16" t="str">
        <f t="shared" si="2"/>
        <v>JMD</v>
      </c>
      <c r="Q92" s="15">
        <f>IFERROR(__xludf.DUMMYFUNCTION("IFNA(INDEX(GOOGLEFINANCE(""Currency:USD""&amp;$P92,""price"",DATE(YEAR($L92),MONTH($L92),DAY($L92))),2,2),LOOKUP(P92,CurrencyCodes,UnitsPerUSD))"),134.8418838222)</f>
        <v>134.8418838</v>
      </c>
      <c r="R92" s="17">
        <f t="shared" si="3"/>
        <v>0</v>
      </c>
    </row>
    <row r="93">
      <c r="A93" s="7">
        <v>43908.891010543986</v>
      </c>
      <c r="B93" s="8" t="s">
        <v>18</v>
      </c>
      <c r="C93" s="9">
        <v>44.0</v>
      </c>
      <c r="D93" s="8" t="s">
        <v>389</v>
      </c>
      <c r="E93" s="8" t="s">
        <v>95</v>
      </c>
      <c r="F93" s="8"/>
      <c r="G93" s="9"/>
      <c r="H93" s="10" t="s">
        <v>384</v>
      </c>
      <c r="I93" s="10" t="s">
        <v>39</v>
      </c>
      <c r="J93" s="11">
        <v>4.5E7</v>
      </c>
      <c r="K93" s="10" t="s">
        <v>385</v>
      </c>
      <c r="L93" s="22"/>
      <c r="M93" s="14" t="s">
        <v>386</v>
      </c>
      <c r="N93" s="10"/>
      <c r="O93" s="15" t="str">
        <f t="shared" si="1"/>
        <v>Unknown</v>
      </c>
      <c r="P93" s="16" t="str">
        <f t="shared" si="2"/>
        <v>JMD</v>
      </c>
      <c r="Q93" s="15">
        <f>IFERROR(__xludf.DUMMYFUNCTION("IFNA(INDEX(GOOGLEFINANCE(""Currency:USD""&amp;$P93,""price"",DATE(YEAR($L93),MONTH($L93),DAY($L93))),2,2),LOOKUP(P93,CurrencyCodes,UnitsPerUSD))"),134.8418838222)</f>
        <v>134.8418838</v>
      </c>
      <c r="R93" s="17">
        <f t="shared" si="3"/>
        <v>333724.2014</v>
      </c>
    </row>
    <row r="94">
      <c r="A94" s="7">
        <v>43908.90000195602</v>
      </c>
      <c r="B94" s="18" t="s">
        <v>18</v>
      </c>
      <c r="C94" s="19"/>
      <c r="D94" s="18" t="s">
        <v>390</v>
      </c>
      <c r="E94" s="18" t="s">
        <v>95</v>
      </c>
      <c r="F94" s="18"/>
      <c r="G94" s="9"/>
      <c r="H94" s="21" t="s">
        <v>384</v>
      </c>
      <c r="I94" s="21" t="s">
        <v>24</v>
      </c>
      <c r="J94" s="11">
        <v>0.0</v>
      </c>
      <c r="K94" s="21" t="s">
        <v>385</v>
      </c>
      <c r="L94" s="22"/>
      <c r="M94" s="31" t="s">
        <v>386</v>
      </c>
      <c r="N94" s="21"/>
      <c r="O94" s="15" t="str">
        <f t="shared" si="1"/>
        <v>Unknown</v>
      </c>
      <c r="P94" s="16" t="str">
        <f t="shared" si="2"/>
        <v>JMD</v>
      </c>
      <c r="Q94" s="15">
        <f>IFERROR(__xludf.DUMMYFUNCTION("IFNA(INDEX(GOOGLEFINANCE(""Currency:USD""&amp;$P94,""price"",DATE(YEAR($L94),MONTH($L94),DAY($L94))),2,2),LOOKUP(P94,CurrencyCodes,UnitsPerUSD))"),134.8418838222)</f>
        <v>134.8418838</v>
      </c>
      <c r="R94" s="17">
        <f t="shared" si="3"/>
        <v>0</v>
      </c>
    </row>
    <row r="95">
      <c r="A95" s="7">
        <v>43908.9022333912</v>
      </c>
      <c r="B95" s="8" t="s">
        <v>18</v>
      </c>
      <c r="C95" s="9"/>
      <c r="D95" s="8" t="s">
        <v>391</v>
      </c>
      <c r="E95" s="8" t="s">
        <v>95</v>
      </c>
      <c r="F95" s="8"/>
      <c r="G95" s="9"/>
      <c r="H95" s="10" t="s">
        <v>384</v>
      </c>
      <c r="I95" s="10" t="s">
        <v>24</v>
      </c>
      <c r="J95" s="11">
        <v>0.0</v>
      </c>
      <c r="K95" s="10" t="s">
        <v>385</v>
      </c>
      <c r="L95" s="13"/>
      <c r="M95" s="14" t="s">
        <v>386</v>
      </c>
      <c r="N95" s="10"/>
      <c r="O95" s="15" t="str">
        <f t="shared" si="1"/>
        <v>Unknown</v>
      </c>
      <c r="P95" s="16" t="str">
        <f t="shared" si="2"/>
        <v>JMD</v>
      </c>
      <c r="Q95" s="15">
        <f>IFERROR(__xludf.DUMMYFUNCTION("IFNA(INDEX(GOOGLEFINANCE(""Currency:USD""&amp;$P95,""price"",DATE(YEAR($L95),MONTH($L95),DAY($L95))),2,2),LOOKUP(P95,CurrencyCodes,UnitsPerUSD))"),134.8418838222)</f>
        <v>134.8418838</v>
      </c>
      <c r="R95" s="17">
        <f t="shared" si="3"/>
        <v>0</v>
      </c>
    </row>
    <row r="96">
      <c r="A96" s="7">
        <v>43919.555304884256</v>
      </c>
      <c r="B96" s="18" t="s">
        <v>18</v>
      </c>
      <c r="C96" s="9"/>
      <c r="D96" s="18"/>
      <c r="E96" s="18" t="s">
        <v>392</v>
      </c>
      <c r="F96" s="8"/>
      <c r="G96" s="19"/>
      <c r="H96" s="21" t="s">
        <v>384</v>
      </c>
      <c r="I96" s="21" t="s">
        <v>24</v>
      </c>
      <c r="J96" s="11">
        <v>4.5E7</v>
      </c>
      <c r="K96" s="21" t="s">
        <v>385</v>
      </c>
      <c r="L96" s="22"/>
      <c r="M96" s="21"/>
      <c r="N96" s="27" t="s">
        <v>393</v>
      </c>
      <c r="O96" s="15" t="str">
        <f t="shared" si="1"/>
        <v>Unknown</v>
      </c>
      <c r="P96" s="16" t="str">
        <f t="shared" si="2"/>
        <v>JMD</v>
      </c>
      <c r="Q96" s="15">
        <f>IFERROR(__xludf.DUMMYFUNCTION("IFNA(INDEX(GOOGLEFINANCE(""Currency:USD""&amp;$P96,""price"",DATE(YEAR($L96),MONTH($L96),DAY($L96))),2,2),LOOKUP(P96,CurrencyCodes,UnitsPerUSD))"),134.8418838222)</f>
        <v>134.8418838</v>
      </c>
      <c r="R96" s="17">
        <f t="shared" si="3"/>
        <v>333724.2014</v>
      </c>
    </row>
    <row r="97">
      <c r="A97" s="7">
        <v>43900.8757236574</v>
      </c>
      <c r="B97" s="8" t="s">
        <v>189</v>
      </c>
      <c r="C97" s="9"/>
      <c r="D97" s="8"/>
      <c r="E97" s="8" t="s">
        <v>394</v>
      </c>
      <c r="F97" s="8"/>
      <c r="G97" s="9"/>
      <c r="H97" s="10" t="s">
        <v>395</v>
      </c>
      <c r="I97" s="10" t="s">
        <v>24</v>
      </c>
      <c r="J97" s="11">
        <v>0.0</v>
      </c>
      <c r="K97" s="10" t="s">
        <v>174</v>
      </c>
      <c r="L97" s="22"/>
      <c r="M97" s="10"/>
      <c r="N97" s="10"/>
      <c r="O97" s="15" t="str">
        <f t="shared" si="1"/>
        <v>Unknown</v>
      </c>
      <c r="P97" s="16" t="str">
        <f t="shared" si="2"/>
        <v>EUR</v>
      </c>
      <c r="Q97" s="15">
        <f>IFERROR(__xludf.DUMMYFUNCTION("IFNA(INDEX(GOOGLEFINANCE(""Currency:USD""&amp;$P97,""price"",DATE(YEAR($L97),MONTH($L97),DAY($L97))),2,2),LOOKUP(P97,CurrencyCodes,UnitsPerUSD))"),0.900001097)</f>
        <v>0.900001097</v>
      </c>
      <c r="R97" s="17">
        <f t="shared" si="3"/>
        <v>0</v>
      </c>
    </row>
    <row r="98">
      <c r="A98" s="7">
        <v>43912.422959675925</v>
      </c>
      <c r="B98" s="18" t="s">
        <v>18</v>
      </c>
      <c r="C98" s="19">
        <v>22.0</v>
      </c>
      <c r="D98" s="18" t="s">
        <v>396</v>
      </c>
      <c r="E98" s="18" t="s">
        <v>397</v>
      </c>
      <c r="F98" s="18"/>
      <c r="G98" s="9">
        <v>6216.0</v>
      </c>
      <c r="H98" s="21" t="s">
        <v>395</v>
      </c>
      <c r="I98" s="21" t="s">
        <v>39</v>
      </c>
      <c r="J98" s="11">
        <v>335000.0</v>
      </c>
      <c r="K98" s="21" t="s">
        <v>174</v>
      </c>
      <c r="L98" s="25">
        <v>43642.0</v>
      </c>
      <c r="M98" s="14" t="s">
        <v>398</v>
      </c>
      <c r="N98" s="21"/>
      <c r="O98" s="15">
        <f t="shared" si="1"/>
        <v>2019</v>
      </c>
      <c r="P98" s="16" t="str">
        <f t="shared" si="2"/>
        <v>EUR</v>
      </c>
      <c r="Q98" s="15">
        <f>IFERROR(__xludf.DUMMYFUNCTION("IFNA(INDEX(GOOGLEFINANCE(""Currency:USD""&amp;$P98,""price"",DATE(YEAR($L98),MONTH($L98),DAY($L98))),2,2),LOOKUP(P98,CurrencyCodes,UnitsPerUSD))"),0.87917)</f>
        <v>0.87917</v>
      </c>
      <c r="R98" s="17">
        <f t="shared" si="3"/>
        <v>381041.2093</v>
      </c>
    </row>
    <row r="99">
      <c r="A99" s="7">
        <v>43908.24734427083</v>
      </c>
      <c r="B99" s="18" t="s">
        <v>18</v>
      </c>
      <c r="C99" s="19">
        <v>20.0</v>
      </c>
      <c r="D99" s="18" t="s">
        <v>399</v>
      </c>
      <c r="E99" s="18" t="s">
        <v>400</v>
      </c>
      <c r="F99" s="18" t="s">
        <v>401</v>
      </c>
      <c r="G99" s="19">
        <v>5011.0</v>
      </c>
      <c r="H99" s="21" t="s">
        <v>402</v>
      </c>
      <c r="I99" s="21" t="s">
        <v>39</v>
      </c>
      <c r="J99" s="11">
        <v>920000.0</v>
      </c>
      <c r="K99" s="21" t="s">
        <v>403</v>
      </c>
      <c r="L99" s="25">
        <v>43775.0</v>
      </c>
      <c r="M99" s="31" t="s">
        <v>404</v>
      </c>
      <c r="N99" s="10"/>
      <c r="O99" s="15">
        <f t="shared" si="1"/>
        <v>2019</v>
      </c>
      <c r="P99" s="16" t="str">
        <f t="shared" si="2"/>
        <v>NZD</v>
      </c>
      <c r="Q99" s="15">
        <f>IFERROR(__xludf.DUMMYFUNCTION("IFNA(INDEX(GOOGLEFINANCE(""Currency:USD""&amp;$P99,""price"",DATE(YEAR($L99),MONTH($L99),DAY($L99))),2,2),LOOKUP(P99,CurrencyCodes,UnitsPerUSD))"),1.570845)</f>
        <v>1.570845</v>
      </c>
      <c r="R99" s="17">
        <f t="shared" si="3"/>
        <v>585672.0428</v>
      </c>
    </row>
    <row r="100">
      <c r="A100" s="7">
        <v>43919.94235009259</v>
      </c>
      <c r="B100" s="18" t="s">
        <v>18</v>
      </c>
      <c r="C100" s="19">
        <v>690.0</v>
      </c>
      <c r="D100" s="18" t="s">
        <v>405</v>
      </c>
      <c r="E100" s="18" t="s">
        <v>406</v>
      </c>
      <c r="F100" s="18" t="s">
        <v>407</v>
      </c>
      <c r="G100" s="19"/>
      <c r="H100" s="21" t="s">
        <v>402</v>
      </c>
      <c r="I100" s="21" t="s">
        <v>39</v>
      </c>
      <c r="J100" s="11">
        <v>417000.0</v>
      </c>
      <c r="K100" s="21" t="s">
        <v>403</v>
      </c>
      <c r="L100" s="25">
        <v>42856.0</v>
      </c>
      <c r="M100" s="14" t="s">
        <v>408</v>
      </c>
      <c r="N100" s="21"/>
      <c r="O100" s="15">
        <f t="shared" si="1"/>
        <v>2017</v>
      </c>
      <c r="P100" s="16" t="str">
        <f t="shared" si="2"/>
        <v>NZD</v>
      </c>
      <c r="Q100" s="15">
        <f>IFERROR(__xludf.DUMMYFUNCTION("IFNA(INDEX(GOOGLEFINANCE(""Currency:USD""&amp;$P100,""price"",DATE(YEAR($L100),MONTH($L100),DAY($L100))),2,2),LOOKUP(P100,CurrencyCodes,UnitsPerUSD))"),1.44454)</f>
        <v>1.44454</v>
      </c>
      <c r="R100" s="17">
        <f t="shared" si="3"/>
        <v>288673.2108</v>
      </c>
    </row>
    <row r="101">
      <c r="A101" s="7">
        <v>43901.84948314815</v>
      </c>
      <c r="B101" s="8" t="s">
        <v>18</v>
      </c>
      <c r="C101" s="9">
        <v>44.0</v>
      </c>
      <c r="D101" s="8" t="s">
        <v>409</v>
      </c>
      <c r="E101" s="8" t="s">
        <v>410</v>
      </c>
      <c r="F101" s="8" t="s">
        <v>411</v>
      </c>
      <c r="G101" s="9">
        <v>4310.0</v>
      </c>
      <c r="H101" s="10" t="s">
        <v>402</v>
      </c>
      <c r="I101" s="10" t="s">
        <v>39</v>
      </c>
      <c r="J101" s="11">
        <v>1300000.0</v>
      </c>
      <c r="K101" s="10" t="s">
        <v>403</v>
      </c>
      <c r="L101" s="25">
        <v>43221.0</v>
      </c>
      <c r="M101" s="14" t="s">
        <v>412</v>
      </c>
      <c r="N101" s="10"/>
      <c r="O101" s="15">
        <f t="shared" si="1"/>
        <v>2018</v>
      </c>
      <c r="P101" s="16" t="str">
        <f t="shared" si="2"/>
        <v>NZD</v>
      </c>
      <c r="Q101" s="15">
        <f>IFERROR(__xludf.DUMMYFUNCTION("IFNA(INDEX(GOOGLEFINANCE(""Currency:USD""&amp;$P101,""price"",DATE(YEAR($L101),MONTH($L101),DAY($L101))),2,2),LOOKUP(P101,CurrencyCodes,UnitsPerUSD))"),1.42837)</f>
        <v>1.42837</v>
      </c>
      <c r="R101" s="17">
        <f t="shared" si="3"/>
        <v>910128.3281</v>
      </c>
    </row>
    <row r="102">
      <c r="A102" s="7">
        <v>43908.24458009259</v>
      </c>
      <c r="B102" s="8" t="s">
        <v>18</v>
      </c>
      <c r="C102" s="9">
        <v>94.0</v>
      </c>
      <c r="D102" s="8" t="s">
        <v>413</v>
      </c>
      <c r="E102" s="8" t="s">
        <v>414</v>
      </c>
      <c r="F102" s="8" t="s">
        <v>415</v>
      </c>
      <c r="G102" s="9"/>
      <c r="H102" s="10" t="s">
        <v>402</v>
      </c>
      <c r="I102" s="10" t="s">
        <v>39</v>
      </c>
      <c r="J102" s="11">
        <v>760000.0</v>
      </c>
      <c r="K102" s="10" t="s">
        <v>403</v>
      </c>
      <c r="L102" s="25">
        <v>43638.0</v>
      </c>
      <c r="M102" s="14" t="s">
        <v>416</v>
      </c>
      <c r="N102" s="10"/>
      <c r="O102" s="15">
        <f t="shared" si="1"/>
        <v>2019</v>
      </c>
      <c r="P102" s="16" t="str">
        <f t="shared" si="2"/>
        <v>NZD</v>
      </c>
      <c r="Q102" s="15">
        <f>IFERROR(__xludf.DUMMYFUNCTION("IFNA(INDEX(GOOGLEFINANCE(""Currency:USD""&amp;$P102,""price"",DATE(YEAR($L102),MONTH($L102),DAY($L102))),2,2),LOOKUP(P102,CurrencyCodes,UnitsPerUSD))"),1.517)</f>
        <v>1.517</v>
      </c>
      <c r="R102" s="17">
        <f t="shared" si="3"/>
        <v>500988.7937</v>
      </c>
    </row>
    <row r="103">
      <c r="A103" s="7">
        <v>43903.946068854166</v>
      </c>
      <c r="B103" s="18" t="s">
        <v>250</v>
      </c>
      <c r="C103" s="19">
        <v>198.0</v>
      </c>
      <c r="D103" s="18" t="s">
        <v>417</v>
      </c>
      <c r="E103" s="18" t="s">
        <v>418</v>
      </c>
      <c r="F103" s="18"/>
      <c r="G103" s="9">
        <v>2103.0</v>
      </c>
      <c r="H103" s="21" t="s">
        <v>402</v>
      </c>
      <c r="I103" s="21" t="s">
        <v>39</v>
      </c>
      <c r="J103" s="11">
        <v>1.45E7</v>
      </c>
      <c r="K103" s="21" t="s">
        <v>403</v>
      </c>
      <c r="L103" s="25">
        <v>41487.0</v>
      </c>
      <c r="M103" s="24" t="s">
        <v>419</v>
      </c>
      <c r="N103" s="21" t="s">
        <v>420</v>
      </c>
      <c r="O103" s="15">
        <f t="shared" si="1"/>
        <v>2013</v>
      </c>
      <c r="P103" s="16" t="str">
        <f t="shared" si="2"/>
        <v>NZD</v>
      </c>
      <c r="Q103" s="15">
        <f>IFERROR(__xludf.DUMMYFUNCTION("IFNA(INDEX(GOOGLEFINANCE(""Currency:USD""&amp;$P103,""price"",DATE(YEAR($L103),MONTH($L103),DAY($L103))),2,2),LOOKUP(P103,CurrencyCodes,UnitsPerUSD))"),1.266)</f>
        <v>1.266</v>
      </c>
      <c r="R103" s="17">
        <f t="shared" si="3"/>
        <v>11453396.52</v>
      </c>
    </row>
    <row r="104">
      <c r="A104" s="7">
        <v>44051.489746736115</v>
      </c>
      <c r="B104" s="8" t="s">
        <v>18</v>
      </c>
      <c r="C104" s="9">
        <v>126.0</v>
      </c>
      <c r="D104" s="8" t="s">
        <v>421</v>
      </c>
      <c r="E104" s="8" t="s">
        <v>422</v>
      </c>
      <c r="F104" s="8"/>
      <c r="G104" s="9">
        <v>4790.0</v>
      </c>
      <c r="H104" s="10" t="s">
        <v>423</v>
      </c>
      <c r="I104" s="10" t="s">
        <v>24</v>
      </c>
      <c r="J104" s="11">
        <v>3500000.0</v>
      </c>
      <c r="K104" s="10" t="s">
        <v>424</v>
      </c>
      <c r="L104" s="25">
        <v>44044.0</v>
      </c>
      <c r="M104" s="28" t="s">
        <v>425</v>
      </c>
      <c r="N104" s="12" t="s">
        <v>426</v>
      </c>
      <c r="O104" s="15">
        <f t="shared" si="1"/>
        <v>2020</v>
      </c>
      <c r="P104" s="16" t="str">
        <f t="shared" si="2"/>
        <v>NOK</v>
      </c>
      <c r="Q104" s="15">
        <f>IFERROR(__xludf.DUMMYFUNCTION("IFNA(INDEX(GOOGLEFINANCE(""Currency:USD""&amp;$P104,""price"",DATE(YEAR($L104),MONTH($L104),DAY($L104))),2,2),LOOKUP(P104,CurrencyCodes,UnitsPerUSD))"),9.098)</f>
        <v>9.098</v>
      </c>
      <c r="R104" s="17">
        <f t="shared" si="3"/>
        <v>384699.9341</v>
      </c>
    </row>
    <row r="105">
      <c r="A105" s="7">
        <v>44034.44762909722</v>
      </c>
      <c r="B105" s="8" t="s">
        <v>427</v>
      </c>
      <c r="C105" s="9">
        <v>32.0</v>
      </c>
      <c r="D105" s="8" t="s">
        <v>428</v>
      </c>
      <c r="E105" s="8" t="s">
        <v>429</v>
      </c>
      <c r="F105" s="8"/>
      <c r="G105" s="29" t="s">
        <v>430</v>
      </c>
      <c r="H105" s="10" t="s">
        <v>423</v>
      </c>
      <c r="I105" s="10" t="s">
        <v>39</v>
      </c>
      <c r="J105" s="11">
        <v>0.0</v>
      </c>
      <c r="K105" s="10" t="s">
        <v>424</v>
      </c>
      <c r="L105" s="13"/>
      <c r="M105" s="14" t="s">
        <v>431</v>
      </c>
      <c r="N105" s="10"/>
      <c r="O105" s="15" t="str">
        <f t="shared" si="1"/>
        <v>Unknown</v>
      </c>
      <c r="P105" s="16" t="str">
        <f t="shared" si="2"/>
        <v>NOK</v>
      </c>
      <c r="Q105" s="15">
        <f>IFERROR(__xludf.DUMMYFUNCTION("IFNA(INDEX(GOOGLEFINANCE(""Currency:USD""&amp;$P105,""price"",DATE(YEAR($L105),MONTH($L105),DAY($L105))),2,2),LOOKUP(P105,CurrencyCodes,UnitsPerUSD))"),10.0296102653)</f>
        <v>10.02961027</v>
      </c>
      <c r="R105" s="17">
        <f t="shared" si="3"/>
        <v>0</v>
      </c>
    </row>
    <row r="106">
      <c r="A106" s="7">
        <v>43950.87874523149</v>
      </c>
      <c r="B106" s="8" t="s">
        <v>250</v>
      </c>
      <c r="C106" s="9">
        <v>1914.0</v>
      </c>
      <c r="D106" s="8" t="s">
        <v>432</v>
      </c>
      <c r="E106" s="8" t="s">
        <v>433</v>
      </c>
      <c r="F106" s="8"/>
      <c r="G106" s="9"/>
      <c r="H106" s="10" t="s">
        <v>423</v>
      </c>
      <c r="I106" s="10" t="s">
        <v>39</v>
      </c>
      <c r="J106" s="11">
        <v>0.0</v>
      </c>
      <c r="K106" s="10" t="s">
        <v>424</v>
      </c>
      <c r="L106" s="22"/>
      <c r="M106" s="28" t="s">
        <v>434</v>
      </c>
      <c r="N106" s="12" t="s">
        <v>435</v>
      </c>
      <c r="O106" s="15" t="str">
        <f t="shared" si="1"/>
        <v>Unknown</v>
      </c>
      <c r="P106" s="16" t="str">
        <f t="shared" si="2"/>
        <v>NOK</v>
      </c>
      <c r="Q106" s="15">
        <f>IFERROR(__xludf.DUMMYFUNCTION("IFNA(INDEX(GOOGLEFINANCE(""Currency:USD""&amp;$P106,""price"",DATE(YEAR($L106),MONTH($L106),DAY($L106))),2,2),LOOKUP(P106,CurrencyCodes,UnitsPerUSD))"),10.0296102653)</f>
        <v>10.02961027</v>
      </c>
      <c r="R106" s="17">
        <f t="shared" si="3"/>
        <v>0</v>
      </c>
    </row>
    <row r="107">
      <c r="A107" s="7">
        <v>43901.92958951389</v>
      </c>
      <c r="B107" s="18" t="s">
        <v>436</v>
      </c>
      <c r="C107" s="19" t="s">
        <v>437</v>
      </c>
      <c r="D107" s="18" t="s">
        <v>438</v>
      </c>
      <c r="E107" s="18" t="s">
        <v>439</v>
      </c>
      <c r="F107" s="8"/>
      <c r="G107" s="9"/>
      <c r="H107" s="21" t="s">
        <v>440</v>
      </c>
      <c r="I107" s="21" t="s">
        <v>39</v>
      </c>
      <c r="J107" s="11">
        <v>275000.0</v>
      </c>
      <c r="K107" s="21" t="s">
        <v>25</v>
      </c>
      <c r="L107" s="25">
        <v>43862.0</v>
      </c>
      <c r="M107" s="24" t="s">
        <v>441</v>
      </c>
      <c r="N107" s="12" t="s">
        <v>442</v>
      </c>
      <c r="O107" s="15">
        <f t="shared" si="1"/>
        <v>2020</v>
      </c>
      <c r="P107" s="16" t="str">
        <f t="shared" si="2"/>
        <v>USD</v>
      </c>
      <c r="Q107" s="15">
        <f>IFERROR(__xludf.DUMMYFUNCTION("IFNA(INDEX(GOOGLEFINANCE(""Currency:USD""&amp;$P107,""price"",DATE(YEAR($L107),MONTH($L107),DAY($L107))),2,2),LOOKUP(P107,CurrencyCodes,UnitsPerUSD))"),1.0)</f>
        <v>1</v>
      </c>
      <c r="R107" s="17">
        <f t="shared" si="3"/>
        <v>275000</v>
      </c>
    </row>
    <row r="108">
      <c r="A108" s="7">
        <v>44083.431961759256</v>
      </c>
      <c r="B108" s="8" t="s">
        <v>443</v>
      </c>
      <c r="C108" s="9" t="s">
        <v>444</v>
      </c>
      <c r="D108" s="8" t="s">
        <v>445</v>
      </c>
      <c r="E108" s="8" t="s">
        <v>446</v>
      </c>
      <c r="F108" s="8" t="s">
        <v>447</v>
      </c>
      <c r="G108" s="9" t="s">
        <v>448</v>
      </c>
      <c r="H108" s="10" t="s">
        <v>449</v>
      </c>
      <c r="I108" s="10" t="s">
        <v>24</v>
      </c>
      <c r="J108" s="11">
        <v>225000.0</v>
      </c>
      <c r="K108" s="10" t="s">
        <v>450</v>
      </c>
      <c r="L108" s="25">
        <v>44060.0</v>
      </c>
      <c r="M108" s="14" t="s">
        <v>451</v>
      </c>
      <c r="N108" s="10"/>
      <c r="O108" s="15">
        <f t="shared" si="1"/>
        <v>2020</v>
      </c>
      <c r="P108" s="16" t="str">
        <f t="shared" si="2"/>
        <v>PLN</v>
      </c>
      <c r="Q108" s="15">
        <f>IFERROR(__xludf.DUMMYFUNCTION("IFNA(INDEX(GOOGLEFINANCE(""Currency:USD""&amp;$P108,""price"",DATE(YEAR($L108),MONTH($L108),DAY($L108))),2,2),LOOKUP(P108,CurrencyCodes,UnitsPerUSD))"),3.702695)</f>
        <v>3.702695</v>
      </c>
      <c r="R108" s="17">
        <f t="shared" si="3"/>
        <v>60766.54977</v>
      </c>
    </row>
    <row r="109">
      <c r="A109" s="7">
        <v>44083.35232253472</v>
      </c>
      <c r="B109" s="8" t="s">
        <v>61</v>
      </c>
      <c r="C109" s="9" t="s">
        <v>452</v>
      </c>
      <c r="D109" s="8" t="s">
        <v>453</v>
      </c>
      <c r="E109" s="8" t="s">
        <v>454</v>
      </c>
      <c r="F109" s="8" t="s">
        <v>455</v>
      </c>
      <c r="G109" s="9" t="s">
        <v>456</v>
      </c>
      <c r="H109" s="10" t="s">
        <v>449</v>
      </c>
      <c r="I109" s="10" t="s">
        <v>24</v>
      </c>
      <c r="J109" s="11">
        <v>298000.0</v>
      </c>
      <c r="K109" s="10" t="s">
        <v>450</v>
      </c>
      <c r="L109" s="25">
        <v>43831.0</v>
      </c>
      <c r="M109" s="14" t="s">
        <v>457</v>
      </c>
      <c r="N109" s="10"/>
      <c r="O109" s="15">
        <f t="shared" si="1"/>
        <v>2020</v>
      </c>
      <c r="P109" s="16" t="str">
        <f t="shared" si="2"/>
        <v>PLN</v>
      </c>
      <c r="Q109" s="15">
        <f>IFERROR(__xludf.DUMMYFUNCTION("IFNA(INDEX(GOOGLEFINANCE(""Currency:USD""&amp;$P109,""price"",DATE(YEAR($L109),MONTH($L109),DAY($L109))),2,2),LOOKUP(P109,CurrencyCodes,UnitsPerUSD))"),3.79265)</f>
        <v>3.79265</v>
      </c>
      <c r="R109" s="17">
        <f t="shared" si="3"/>
        <v>78573.02941</v>
      </c>
    </row>
    <row r="110">
      <c r="A110" s="7">
        <v>44083.31925446759</v>
      </c>
      <c r="B110" s="8" t="s">
        <v>18</v>
      </c>
      <c r="C110" s="9">
        <v>3.0</v>
      </c>
      <c r="D110" s="8" t="s">
        <v>458</v>
      </c>
      <c r="E110" s="8" t="s">
        <v>459</v>
      </c>
      <c r="F110" s="8" t="s">
        <v>460</v>
      </c>
      <c r="G110" s="9" t="s">
        <v>461</v>
      </c>
      <c r="H110" s="10" t="s">
        <v>449</v>
      </c>
      <c r="I110" s="10" t="s">
        <v>24</v>
      </c>
      <c r="J110" s="11">
        <v>390000.0</v>
      </c>
      <c r="K110" s="10" t="s">
        <v>450</v>
      </c>
      <c r="L110" s="25">
        <v>43983.0</v>
      </c>
      <c r="M110" s="14" t="s">
        <v>462</v>
      </c>
      <c r="N110" s="10"/>
      <c r="O110" s="15">
        <f t="shared" si="1"/>
        <v>2020</v>
      </c>
      <c r="P110" s="16" t="str">
        <f t="shared" si="2"/>
        <v>PLN</v>
      </c>
      <c r="Q110" s="15">
        <f>IFERROR(__xludf.DUMMYFUNCTION("IFNA(INDEX(GOOGLEFINANCE(""Currency:USD""&amp;$P110,""price"",DATE(YEAR($L110),MONTH($L110),DAY($L110))),2,2),LOOKUP(P110,CurrencyCodes,UnitsPerUSD))"),3.95845)</f>
        <v>3.95845</v>
      </c>
      <c r="R110" s="17">
        <f t="shared" si="3"/>
        <v>98523.41194</v>
      </c>
    </row>
    <row r="111">
      <c r="A111" s="7">
        <v>44083.29372180556</v>
      </c>
      <c r="B111" s="8" t="s">
        <v>18</v>
      </c>
      <c r="C111" s="9">
        <v>14.0</v>
      </c>
      <c r="D111" s="8" t="s">
        <v>463</v>
      </c>
      <c r="E111" s="8" t="s">
        <v>464</v>
      </c>
      <c r="F111" s="8" t="s">
        <v>465</v>
      </c>
      <c r="G111" s="9" t="s">
        <v>466</v>
      </c>
      <c r="H111" s="10" t="s">
        <v>449</v>
      </c>
      <c r="I111" s="10" t="s">
        <v>39</v>
      </c>
      <c r="J111" s="11">
        <v>199000.0</v>
      </c>
      <c r="K111" s="10" t="s">
        <v>450</v>
      </c>
      <c r="L111" s="25">
        <v>44075.0</v>
      </c>
      <c r="M111" s="28" t="s">
        <v>467</v>
      </c>
      <c r="N111" s="12" t="s">
        <v>468</v>
      </c>
      <c r="O111" s="15">
        <f t="shared" si="1"/>
        <v>2020</v>
      </c>
      <c r="P111" s="16" t="str">
        <f t="shared" si="2"/>
        <v>PLN</v>
      </c>
      <c r="Q111" s="15">
        <f>IFERROR(__xludf.DUMMYFUNCTION("IFNA(INDEX(GOOGLEFINANCE(""Currency:USD""&amp;$P111,""price"",DATE(YEAR($L111),MONTH($L111),DAY($L111))),2,2),LOOKUP(P111,CurrencyCodes,UnitsPerUSD))"),3.6804)</f>
        <v>3.6804</v>
      </c>
      <c r="R111" s="17">
        <f t="shared" si="3"/>
        <v>54070.20976</v>
      </c>
    </row>
    <row r="112">
      <c r="A112" s="7">
        <v>44083.25513138888</v>
      </c>
      <c r="B112" s="8" t="s">
        <v>18</v>
      </c>
      <c r="C112" s="9">
        <v>24.0</v>
      </c>
      <c r="D112" s="8" t="s">
        <v>469</v>
      </c>
      <c r="E112" s="8" t="s">
        <v>470</v>
      </c>
      <c r="F112" s="8" t="s">
        <v>471</v>
      </c>
      <c r="G112" s="9" t="s">
        <v>472</v>
      </c>
      <c r="H112" s="10" t="s">
        <v>449</v>
      </c>
      <c r="I112" s="10" t="s">
        <v>24</v>
      </c>
      <c r="J112" s="11">
        <v>290000.0</v>
      </c>
      <c r="K112" s="10" t="s">
        <v>450</v>
      </c>
      <c r="L112" s="25">
        <v>43678.0</v>
      </c>
      <c r="M112" s="14" t="s">
        <v>473</v>
      </c>
      <c r="N112" s="10"/>
      <c r="O112" s="15">
        <f t="shared" si="1"/>
        <v>2019</v>
      </c>
      <c r="P112" s="16" t="str">
        <f t="shared" si="2"/>
        <v>PLN</v>
      </c>
      <c r="Q112" s="15">
        <f>IFERROR(__xludf.DUMMYFUNCTION("IFNA(INDEX(GOOGLEFINANCE(""Currency:USD""&amp;$P112,""price"",DATE(YEAR($L112),MONTH($L112),DAY($L112))),2,2),LOOKUP(P112,CurrencyCodes,UnitsPerUSD))"),3.88915)</f>
        <v>3.88915</v>
      </c>
      <c r="R112" s="17">
        <f t="shared" si="3"/>
        <v>74566.42197</v>
      </c>
    </row>
    <row r="113">
      <c r="A113" s="7">
        <v>44083.32439516204</v>
      </c>
      <c r="B113" s="8" t="s">
        <v>18</v>
      </c>
      <c r="C113" s="9">
        <v>22.0</v>
      </c>
      <c r="D113" s="8" t="s">
        <v>474</v>
      </c>
      <c r="E113" s="8" t="s">
        <v>475</v>
      </c>
      <c r="F113" s="8" t="s">
        <v>476</v>
      </c>
      <c r="G113" s="9" t="s">
        <v>477</v>
      </c>
      <c r="H113" s="10" t="s">
        <v>449</v>
      </c>
      <c r="I113" s="10" t="s">
        <v>24</v>
      </c>
      <c r="J113" s="11">
        <v>170000.0</v>
      </c>
      <c r="K113" s="10" t="s">
        <v>450</v>
      </c>
      <c r="L113" s="25">
        <v>44044.0</v>
      </c>
      <c r="M113" s="14" t="s">
        <v>478</v>
      </c>
      <c r="N113" s="10"/>
      <c r="O113" s="15">
        <f t="shared" si="1"/>
        <v>2020</v>
      </c>
      <c r="P113" s="16" t="str">
        <f t="shared" si="2"/>
        <v>PLN</v>
      </c>
      <c r="Q113" s="15">
        <f>IFERROR(__xludf.DUMMYFUNCTION("IFNA(INDEX(GOOGLEFINANCE(""Currency:USD""&amp;$P113,""price"",DATE(YEAR($L113),MONTH($L113),DAY($L113))),2,2),LOOKUP(P113,CurrencyCodes,UnitsPerUSD))"),3.74805)</f>
        <v>3.74805</v>
      </c>
      <c r="R113" s="17">
        <f t="shared" si="3"/>
        <v>45356.91893</v>
      </c>
    </row>
    <row r="114">
      <c r="A114" s="7">
        <v>44083.32148175926</v>
      </c>
      <c r="B114" s="8" t="s">
        <v>18</v>
      </c>
      <c r="C114" s="9" t="s">
        <v>479</v>
      </c>
      <c r="D114" s="8" t="s">
        <v>480</v>
      </c>
      <c r="E114" s="8" t="s">
        <v>481</v>
      </c>
      <c r="F114" s="8" t="s">
        <v>482</v>
      </c>
      <c r="G114" s="9" t="s">
        <v>483</v>
      </c>
      <c r="H114" s="10" t="s">
        <v>449</v>
      </c>
      <c r="I114" s="10" t="s">
        <v>24</v>
      </c>
      <c r="J114" s="11">
        <v>430000.0</v>
      </c>
      <c r="K114" s="10" t="s">
        <v>450</v>
      </c>
      <c r="L114" s="25">
        <v>43983.0</v>
      </c>
      <c r="M114" s="14" t="s">
        <v>484</v>
      </c>
      <c r="N114" s="10"/>
      <c r="O114" s="15">
        <f t="shared" si="1"/>
        <v>2020</v>
      </c>
      <c r="P114" s="16" t="str">
        <f t="shared" si="2"/>
        <v>PLN</v>
      </c>
      <c r="Q114" s="15">
        <f>IFERROR(__xludf.DUMMYFUNCTION("IFNA(INDEX(GOOGLEFINANCE(""Currency:USD""&amp;$P114,""price"",DATE(YEAR($L114),MONTH($L114),DAY($L114))),2,2),LOOKUP(P114,CurrencyCodes,UnitsPerUSD))"),3.95845)</f>
        <v>3.95845</v>
      </c>
      <c r="R114" s="17">
        <f t="shared" si="3"/>
        <v>108628.3773</v>
      </c>
    </row>
    <row r="115">
      <c r="A115" s="7">
        <v>44061.53039962963</v>
      </c>
      <c r="B115" s="8" t="s">
        <v>18</v>
      </c>
      <c r="C115" s="9">
        <v>74.0</v>
      </c>
      <c r="D115" s="8" t="s">
        <v>485</v>
      </c>
      <c r="E115" s="8" t="s">
        <v>486</v>
      </c>
      <c r="F115" s="8" t="s">
        <v>482</v>
      </c>
      <c r="G115" s="9" t="s">
        <v>487</v>
      </c>
      <c r="H115" s="10" t="s">
        <v>449</v>
      </c>
      <c r="I115" s="10" t="s">
        <v>24</v>
      </c>
      <c r="J115" s="11">
        <v>550000.0</v>
      </c>
      <c r="K115" s="10" t="s">
        <v>450</v>
      </c>
      <c r="L115" s="25">
        <v>43832.0</v>
      </c>
      <c r="M115" s="14" t="s">
        <v>488</v>
      </c>
      <c r="N115" s="10"/>
      <c r="O115" s="15">
        <f t="shared" si="1"/>
        <v>2020</v>
      </c>
      <c r="P115" s="16" t="str">
        <f t="shared" si="2"/>
        <v>PLN</v>
      </c>
      <c r="Q115" s="15">
        <f>IFERROR(__xludf.DUMMYFUNCTION("IFNA(INDEX(GOOGLEFINANCE(""Currency:USD""&amp;$P115,""price"",DATE(YEAR($L115),MONTH($L115),DAY($L115))),2,2),LOOKUP(P115,CurrencyCodes,UnitsPerUSD))"),3.79425)</f>
        <v>3.79425</v>
      </c>
      <c r="R115" s="17">
        <f t="shared" si="3"/>
        <v>144956.1837</v>
      </c>
    </row>
    <row r="116">
      <c r="A116" s="7">
        <v>44083.42820334491</v>
      </c>
      <c r="B116" s="8" t="s">
        <v>61</v>
      </c>
      <c r="C116" s="9" t="s">
        <v>489</v>
      </c>
      <c r="D116" s="8" t="s">
        <v>490</v>
      </c>
      <c r="E116" s="8" t="s">
        <v>491</v>
      </c>
      <c r="F116" s="8" t="s">
        <v>492</v>
      </c>
      <c r="G116" s="9" t="s">
        <v>493</v>
      </c>
      <c r="H116" s="10" t="s">
        <v>449</v>
      </c>
      <c r="I116" s="10" t="s">
        <v>24</v>
      </c>
      <c r="J116" s="11">
        <v>98800.0</v>
      </c>
      <c r="K116" s="10" t="s">
        <v>450</v>
      </c>
      <c r="L116" s="25">
        <v>44060.0</v>
      </c>
      <c r="M116" s="28" t="s">
        <v>494</v>
      </c>
      <c r="N116" s="12" t="s">
        <v>495</v>
      </c>
      <c r="O116" s="15">
        <f t="shared" si="1"/>
        <v>2020</v>
      </c>
      <c r="P116" s="16" t="str">
        <f t="shared" si="2"/>
        <v>PLN</v>
      </c>
      <c r="Q116" s="15">
        <f>IFERROR(__xludf.DUMMYFUNCTION("IFNA(INDEX(GOOGLEFINANCE(""Currency:USD""&amp;$P116,""price"",DATE(YEAR($L116),MONTH($L116),DAY($L116))),2,2),LOOKUP(P116,CurrencyCodes,UnitsPerUSD))"),3.702695)</f>
        <v>3.702695</v>
      </c>
      <c r="R116" s="17">
        <f t="shared" si="3"/>
        <v>26683.26719</v>
      </c>
    </row>
    <row r="117">
      <c r="A117" s="7">
        <v>44061.52357466435</v>
      </c>
      <c r="B117" s="8" t="s">
        <v>18</v>
      </c>
      <c r="C117" s="9" t="s">
        <v>496</v>
      </c>
      <c r="D117" s="8" t="s">
        <v>497</v>
      </c>
      <c r="E117" s="8" t="s">
        <v>498</v>
      </c>
      <c r="F117" s="8" t="s">
        <v>499</v>
      </c>
      <c r="G117" s="9" t="s">
        <v>500</v>
      </c>
      <c r="H117" s="10" t="s">
        <v>449</v>
      </c>
      <c r="I117" s="10" t="s">
        <v>24</v>
      </c>
      <c r="J117" s="11">
        <v>200000.0</v>
      </c>
      <c r="K117" s="10" t="s">
        <v>450</v>
      </c>
      <c r="L117" s="25">
        <v>43922.0</v>
      </c>
      <c r="M117" s="14" t="s">
        <v>501</v>
      </c>
      <c r="N117" s="10"/>
      <c r="O117" s="15">
        <f t="shared" si="1"/>
        <v>2020</v>
      </c>
      <c r="P117" s="16" t="str">
        <f t="shared" si="2"/>
        <v>PLN</v>
      </c>
      <c r="Q117" s="15">
        <f>IFERROR(__xludf.DUMMYFUNCTION("IFNA(INDEX(GOOGLEFINANCE(""Currency:USD""&amp;$P117,""price"",DATE(YEAR($L117),MONTH($L117),DAY($L117))),2,2),LOOKUP(P117,CurrencyCodes,UnitsPerUSD))"),4.19705)</f>
        <v>4.19705</v>
      </c>
      <c r="R117" s="17">
        <f t="shared" si="3"/>
        <v>47652.51784</v>
      </c>
    </row>
    <row r="118">
      <c r="A118" s="7">
        <v>44061.54138326389</v>
      </c>
      <c r="B118" s="8" t="s">
        <v>18</v>
      </c>
      <c r="C118" s="9" t="s">
        <v>502</v>
      </c>
      <c r="D118" s="8" t="s">
        <v>503</v>
      </c>
      <c r="E118" s="8" t="s">
        <v>503</v>
      </c>
      <c r="F118" s="8" t="s">
        <v>504</v>
      </c>
      <c r="G118" s="9" t="s">
        <v>505</v>
      </c>
      <c r="H118" s="10" t="s">
        <v>449</v>
      </c>
      <c r="I118" s="10" t="s">
        <v>24</v>
      </c>
      <c r="J118" s="11">
        <v>250000.0</v>
      </c>
      <c r="K118" s="10" t="s">
        <v>450</v>
      </c>
      <c r="L118" s="25">
        <v>43864.0</v>
      </c>
      <c r="M118" s="14" t="s">
        <v>506</v>
      </c>
      <c r="N118" s="10"/>
      <c r="O118" s="15">
        <f t="shared" si="1"/>
        <v>2020</v>
      </c>
      <c r="P118" s="16" t="str">
        <f t="shared" si="2"/>
        <v>PLN</v>
      </c>
      <c r="Q118" s="15">
        <f>IFERROR(__xludf.DUMMYFUNCTION("IFNA(INDEX(GOOGLEFINANCE(""Currency:USD""&amp;$P118,""price"",DATE(YEAR($L118),MONTH($L118),DAY($L118))),2,2),LOOKUP(P118,CurrencyCodes,UnitsPerUSD))"),3.885645)</f>
        <v>3.885645</v>
      </c>
      <c r="R118" s="17">
        <f t="shared" si="3"/>
        <v>64339.38252</v>
      </c>
    </row>
    <row r="119">
      <c r="A119" s="7">
        <v>44083.42022303241</v>
      </c>
      <c r="B119" s="8" t="s">
        <v>507</v>
      </c>
      <c r="C119" s="9" t="s">
        <v>508</v>
      </c>
      <c r="D119" s="8" t="s">
        <v>509</v>
      </c>
      <c r="E119" s="8" t="s">
        <v>510</v>
      </c>
      <c r="F119" s="8" t="s">
        <v>511</v>
      </c>
      <c r="G119" s="9" t="s">
        <v>512</v>
      </c>
      <c r="H119" s="10" t="s">
        <v>449</v>
      </c>
      <c r="I119" s="10" t="s">
        <v>24</v>
      </c>
      <c r="J119" s="11">
        <v>140000.0</v>
      </c>
      <c r="K119" s="10" t="s">
        <v>450</v>
      </c>
      <c r="L119" s="25">
        <v>44053.0</v>
      </c>
      <c r="M119" s="14" t="s">
        <v>513</v>
      </c>
      <c r="N119" s="10"/>
      <c r="O119" s="15">
        <f t="shared" si="1"/>
        <v>2020</v>
      </c>
      <c r="P119" s="16" t="str">
        <f t="shared" si="2"/>
        <v>PLN</v>
      </c>
      <c r="Q119" s="15">
        <f>IFERROR(__xludf.DUMMYFUNCTION("IFNA(INDEX(GOOGLEFINANCE(""Currency:USD""&amp;$P119,""price"",DATE(YEAR($L119),MONTH($L119),DAY($L119))),2,2),LOOKUP(P119,CurrencyCodes,UnitsPerUSD))"),3.7487)</f>
        <v>3.7487</v>
      </c>
      <c r="R119" s="17">
        <f t="shared" si="3"/>
        <v>37346.28004</v>
      </c>
    </row>
    <row r="120">
      <c r="A120" s="7">
        <v>44083.38055461805</v>
      </c>
      <c r="B120" s="8" t="s">
        <v>61</v>
      </c>
      <c r="C120" s="9" t="s">
        <v>514</v>
      </c>
      <c r="D120" s="8" t="s">
        <v>515</v>
      </c>
      <c r="E120" s="8" t="s">
        <v>516</v>
      </c>
      <c r="F120" s="8" t="s">
        <v>517</v>
      </c>
      <c r="G120" s="9" t="s">
        <v>518</v>
      </c>
      <c r="H120" s="10" t="s">
        <v>449</v>
      </c>
      <c r="I120" s="10" t="s">
        <v>24</v>
      </c>
      <c r="J120" s="11">
        <v>225000.0</v>
      </c>
      <c r="K120" s="10" t="s">
        <v>450</v>
      </c>
      <c r="L120" s="25">
        <v>43952.0</v>
      </c>
      <c r="M120" s="28" t="s">
        <v>519</v>
      </c>
      <c r="N120" s="12" t="s">
        <v>520</v>
      </c>
      <c r="O120" s="15">
        <f t="shared" si="1"/>
        <v>2020</v>
      </c>
      <c r="P120" s="16" t="str">
        <f t="shared" si="2"/>
        <v>PLN</v>
      </c>
      <c r="Q120" s="15">
        <f>IFERROR(__xludf.DUMMYFUNCTION("IFNA(INDEX(GOOGLEFINANCE(""Currency:USD""&amp;$P120,""price"",DATE(YEAR($L120),MONTH($L120),DAY($L120))),2,2),LOOKUP(P120,CurrencyCodes,UnitsPerUSD))"),4.16355)</f>
        <v>4.16355</v>
      </c>
      <c r="R120" s="17">
        <f t="shared" si="3"/>
        <v>54040.42224</v>
      </c>
    </row>
    <row r="121">
      <c r="A121" s="7">
        <v>44083.38964096065</v>
      </c>
      <c r="B121" s="8" t="s">
        <v>507</v>
      </c>
      <c r="C121" s="9">
        <v>13.0</v>
      </c>
      <c r="D121" s="8" t="s">
        <v>521</v>
      </c>
      <c r="E121" s="8" t="s">
        <v>522</v>
      </c>
      <c r="F121" s="8" t="s">
        <v>523</v>
      </c>
      <c r="G121" s="9" t="s">
        <v>524</v>
      </c>
      <c r="H121" s="10" t="s">
        <v>449</v>
      </c>
      <c r="I121" s="10" t="s">
        <v>24</v>
      </c>
      <c r="J121" s="11">
        <v>160000.0</v>
      </c>
      <c r="K121" s="10" t="s">
        <v>450</v>
      </c>
      <c r="L121" s="25">
        <v>44046.0</v>
      </c>
      <c r="M121" s="14" t="s">
        <v>525</v>
      </c>
      <c r="N121" s="10"/>
      <c r="O121" s="15">
        <f t="shared" si="1"/>
        <v>2020</v>
      </c>
      <c r="P121" s="16" t="str">
        <f t="shared" si="2"/>
        <v>PLN</v>
      </c>
      <c r="Q121" s="15">
        <f>IFERROR(__xludf.DUMMYFUNCTION("IFNA(INDEX(GOOGLEFINANCE(""Currency:USD""&amp;$P121,""price"",DATE(YEAR($L121),MONTH($L121),DAY($L121))),2,2),LOOKUP(P121,CurrencyCodes,UnitsPerUSD))"),3.75175)</f>
        <v>3.75175</v>
      </c>
      <c r="R121" s="17">
        <f t="shared" si="3"/>
        <v>42646.76484</v>
      </c>
    </row>
    <row r="122">
      <c r="A122" s="7">
        <v>44083.25035809028</v>
      </c>
      <c r="B122" s="8" t="s">
        <v>18</v>
      </c>
      <c r="C122" s="9" t="s">
        <v>526</v>
      </c>
      <c r="D122" s="8" t="s">
        <v>527</v>
      </c>
      <c r="E122" s="8" t="s">
        <v>528</v>
      </c>
      <c r="F122" s="8" t="s">
        <v>523</v>
      </c>
      <c r="G122" s="9" t="s">
        <v>529</v>
      </c>
      <c r="H122" s="10" t="s">
        <v>449</v>
      </c>
      <c r="I122" s="10" t="s">
        <v>24</v>
      </c>
      <c r="J122" s="11">
        <v>350000.0</v>
      </c>
      <c r="K122" s="10" t="s">
        <v>450</v>
      </c>
      <c r="L122" s="25">
        <v>43374.0</v>
      </c>
      <c r="M122" s="14" t="s">
        <v>530</v>
      </c>
      <c r="N122" s="10"/>
      <c r="O122" s="15">
        <f t="shared" si="1"/>
        <v>2018</v>
      </c>
      <c r="P122" s="16" t="str">
        <f t="shared" si="2"/>
        <v>PLN</v>
      </c>
      <c r="Q122" s="15">
        <f>IFERROR(__xludf.DUMMYFUNCTION("IFNA(INDEX(GOOGLEFINANCE(""Currency:USD""&amp;$P122,""price"",DATE(YEAR($L122),MONTH($L122),DAY($L122))),2,2),LOOKUP(P122,CurrencyCodes,UnitsPerUSD))"),3.7022)</f>
        <v>3.7022</v>
      </c>
      <c r="R122" s="17">
        <f t="shared" si="3"/>
        <v>94538.38258</v>
      </c>
    </row>
    <row r="123">
      <c r="A123" s="7">
        <v>44083.269212858795</v>
      </c>
      <c r="B123" s="8" t="s">
        <v>18</v>
      </c>
      <c r="C123" s="9">
        <v>9.0</v>
      </c>
      <c r="D123" s="8" t="s">
        <v>531</v>
      </c>
      <c r="E123" s="8" t="s">
        <v>531</v>
      </c>
      <c r="F123" s="8" t="s">
        <v>532</v>
      </c>
      <c r="G123" s="9" t="s">
        <v>533</v>
      </c>
      <c r="H123" s="10" t="s">
        <v>449</v>
      </c>
      <c r="I123" s="10" t="s">
        <v>24</v>
      </c>
      <c r="J123" s="11">
        <v>55000.0</v>
      </c>
      <c r="K123" s="10" t="s">
        <v>450</v>
      </c>
      <c r="L123" s="25">
        <v>43678.0</v>
      </c>
      <c r="M123" s="14" t="s">
        <v>534</v>
      </c>
      <c r="N123" s="10"/>
      <c r="O123" s="15">
        <f t="shared" si="1"/>
        <v>2019</v>
      </c>
      <c r="P123" s="16" t="str">
        <f t="shared" si="2"/>
        <v>PLN</v>
      </c>
      <c r="Q123" s="15">
        <f>IFERROR(__xludf.DUMMYFUNCTION("IFNA(INDEX(GOOGLEFINANCE(""Currency:USD""&amp;$P123,""price"",DATE(YEAR($L123),MONTH($L123),DAY($L123))),2,2),LOOKUP(P123,CurrencyCodes,UnitsPerUSD))"),3.88915)</f>
        <v>3.88915</v>
      </c>
      <c r="R123" s="17">
        <f t="shared" si="3"/>
        <v>14141.90761</v>
      </c>
    </row>
    <row r="124">
      <c r="A124" s="7">
        <v>44083.29100469907</v>
      </c>
      <c r="B124" s="8" t="s">
        <v>18</v>
      </c>
      <c r="C124" s="9" t="s">
        <v>535</v>
      </c>
      <c r="D124" s="8" t="s">
        <v>536</v>
      </c>
      <c r="E124" s="8" t="s">
        <v>537</v>
      </c>
      <c r="F124" s="8" t="s">
        <v>538</v>
      </c>
      <c r="G124" s="9" t="s">
        <v>539</v>
      </c>
      <c r="H124" s="10" t="s">
        <v>449</v>
      </c>
      <c r="I124" s="10" t="s">
        <v>24</v>
      </c>
      <c r="J124" s="11">
        <v>340000.0</v>
      </c>
      <c r="K124" s="10" t="s">
        <v>450</v>
      </c>
      <c r="L124" s="25">
        <v>43831.0</v>
      </c>
      <c r="M124" s="14" t="s">
        <v>540</v>
      </c>
      <c r="N124" s="10"/>
      <c r="O124" s="15">
        <f t="shared" si="1"/>
        <v>2020</v>
      </c>
      <c r="P124" s="16" t="str">
        <f t="shared" si="2"/>
        <v>PLN</v>
      </c>
      <c r="Q124" s="15">
        <f>IFERROR(__xludf.DUMMYFUNCTION("IFNA(INDEX(GOOGLEFINANCE(""Currency:USD""&amp;$P124,""price"",DATE(YEAR($L124),MONTH($L124),DAY($L124))),2,2),LOOKUP(P124,CurrencyCodes,UnitsPerUSD))"),3.79265)</f>
        <v>3.79265</v>
      </c>
      <c r="R124" s="17">
        <f t="shared" si="3"/>
        <v>89647.08054</v>
      </c>
    </row>
    <row r="125">
      <c r="A125" s="7">
        <v>44083.245786388885</v>
      </c>
      <c r="B125" s="8" t="s">
        <v>18</v>
      </c>
      <c r="C125" s="9">
        <v>38.0</v>
      </c>
      <c r="D125" s="8" t="s">
        <v>541</v>
      </c>
      <c r="E125" s="8" t="s">
        <v>542</v>
      </c>
      <c r="F125" s="8" t="s">
        <v>543</v>
      </c>
      <c r="G125" s="9" t="s">
        <v>544</v>
      </c>
      <c r="H125" s="10" t="s">
        <v>449</v>
      </c>
      <c r="I125" s="10" t="s">
        <v>24</v>
      </c>
      <c r="J125" s="11">
        <v>283000.0</v>
      </c>
      <c r="K125" s="10" t="s">
        <v>450</v>
      </c>
      <c r="L125" s="25">
        <v>43344.0</v>
      </c>
      <c r="M125" s="14" t="s">
        <v>545</v>
      </c>
      <c r="N125" s="10"/>
      <c r="O125" s="15">
        <f t="shared" si="1"/>
        <v>2018</v>
      </c>
      <c r="P125" s="16" t="str">
        <f t="shared" si="2"/>
        <v>PLN</v>
      </c>
      <c r="Q125" s="15">
        <f>IFERROR(__xludf.DUMMYFUNCTION("IFNA(INDEX(GOOGLEFINANCE(""Currency:USD""&amp;$P125,""price"",DATE(YEAR($L125),MONTH($L125),DAY($L125))),2,2),LOOKUP(P125,CurrencyCodes,UnitsPerUSD))"),3.708)</f>
        <v>3.708</v>
      </c>
      <c r="R125" s="17">
        <f t="shared" si="3"/>
        <v>76321.4671</v>
      </c>
    </row>
    <row r="126">
      <c r="A126" s="7">
        <v>44083.41264064815</v>
      </c>
      <c r="B126" s="8" t="s">
        <v>61</v>
      </c>
      <c r="C126" s="9" t="s">
        <v>546</v>
      </c>
      <c r="D126" s="8" t="s">
        <v>547</v>
      </c>
      <c r="E126" s="8" t="s">
        <v>548</v>
      </c>
      <c r="F126" s="8" t="s">
        <v>548</v>
      </c>
      <c r="G126" s="9" t="s">
        <v>549</v>
      </c>
      <c r="H126" s="10" t="s">
        <v>449</v>
      </c>
      <c r="I126" s="10" t="s">
        <v>24</v>
      </c>
      <c r="J126" s="11">
        <v>119000.0</v>
      </c>
      <c r="K126" s="10" t="s">
        <v>450</v>
      </c>
      <c r="L126" s="25">
        <v>44046.0</v>
      </c>
      <c r="M126" s="14" t="s">
        <v>550</v>
      </c>
      <c r="N126" s="10"/>
      <c r="O126" s="15">
        <f t="shared" si="1"/>
        <v>2020</v>
      </c>
      <c r="P126" s="16" t="str">
        <f t="shared" si="2"/>
        <v>PLN</v>
      </c>
      <c r="Q126" s="15">
        <f>IFERROR(__xludf.DUMMYFUNCTION("IFNA(INDEX(GOOGLEFINANCE(""Currency:USD""&amp;$P126,""price"",DATE(YEAR($L126),MONTH($L126),DAY($L126))),2,2),LOOKUP(P126,CurrencyCodes,UnitsPerUSD))"),3.75175)</f>
        <v>3.75175</v>
      </c>
      <c r="R126" s="17">
        <f t="shared" si="3"/>
        <v>31718.53135</v>
      </c>
    </row>
    <row r="127">
      <c r="A127" s="7">
        <v>44083.446318518516</v>
      </c>
      <c r="B127" s="8" t="s">
        <v>61</v>
      </c>
      <c r="C127" s="9"/>
      <c r="D127" s="8" t="s">
        <v>551</v>
      </c>
      <c r="E127" s="8" t="s">
        <v>552</v>
      </c>
      <c r="F127" s="8" t="s">
        <v>553</v>
      </c>
      <c r="G127" s="9" t="s">
        <v>554</v>
      </c>
      <c r="H127" s="10" t="s">
        <v>449</v>
      </c>
      <c r="I127" s="10" t="s">
        <v>24</v>
      </c>
      <c r="J127" s="11">
        <v>130000.0</v>
      </c>
      <c r="K127" s="10" t="s">
        <v>450</v>
      </c>
      <c r="L127" s="25">
        <v>44046.0</v>
      </c>
      <c r="M127" s="28" t="s">
        <v>555</v>
      </c>
      <c r="N127" s="12" t="s">
        <v>556</v>
      </c>
      <c r="O127" s="15">
        <f t="shared" si="1"/>
        <v>2020</v>
      </c>
      <c r="P127" s="16" t="str">
        <f t="shared" si="2"/>
        <v>PLN</v>
      </c>
      <c r="Q127" s="15">
        <f>IFERROR(__xludf.DUMMYFUNCTION("IFNA(INDEX(GOOGLEFINANCE(""Currency:USD""&amp;$P127,""price"",DATE(YEAR($L127),MONTH($L127),DAY($L127))),2,2),LOOKUP(P127,CurrencyCodes,UnitsPerUSD))"),3.75175)</f>
        <v>3.75175</v>
      </c>
      <c r="R127" s="17">
        <f t="shared" si="3"/>
        <v>34650.49643</v>
      </c>
    </row>
    <row r="128">
      <c r="A128" s="7">
        <v>44083.33424246528</v>
      </c>
      <c r="B128" s="8" t="s">
        <v>18</v>
      </c>
      <c r="C128" s="9">
        <v>9.0</v>
      </c>
      <c r="D128" s="8" t="s">
        <v>557</v>
      </c>
      <c r="E128" s="8" t="s">
        <v>558</v>
      </c>
      <c r="F128" s="8" t="s">
        <v>553</v>
      </c>
      <c r="G128" s="9" t="s">
        <v>559</v>
      </c>
      <c r="H128" s="10" t="s">
        <v>449</v>
      </c>
      <c r="I128" s="10" t="s">
        <v>24</v>
      </c>
      <c r="J128" s="11">
        <v>299000.0</v>
      </c>
      <c r="K128" s="10" t="s">
        <v>450</v>
      </c>
      <c r="L128" s="25">
        <v>44060.0</v>
      </c>
      <c r="M128" s="14" t="s">
        <v>560</v>
      </c>
      <c r="N128" s="10"/>
      <c r="O128" s="15">
        <f t="shared" si="1"/>
        <v>2020</v>
      </c>
      <c r="P128" s="16" t="str">
        <f t="shared" si="2"/>
        <v>PLN</v>
      </c>
      <c r="Q128" s="15">
        <f>IFERROR(__xludf.DUMMYFUNCTION("IFNA(INDEX(GOOGLEFINANCE(""Currency:USD""&amp;$P128,""price"",DATE(YEAR($L128),MONTH($L128),DAY($L128))),2,2),LOOKUP(P128,CurrencyCodes,UnitsPerUSD))"),3.702695)</f>
        <v>3.702695</v>
      </c>
      <c r="R128" s="17">
        <f t="shared" si="3"/>
        <v>80751.99281</v>
      </c>
    </row>
    <row r="129">
      <c r="A129" s="7">
        <v>44061.55568484953</v>
      </c>
      <c r="B129" s="8" t="s">
        <v>18</v>
      </c>
      <c r="C129" s="9">
        <v>6.0</v>
      </c>
      <c r="D129" s="8" t="s">
        <v>561</v>
      </c>
      <c r="E129" s="8" t="s">
        <v>562</v>
      </c>
      <c r="F129" s="8" t="s">
        <v>553</v>
      </c>
      <c r="G129" s="9" t="s">
        <v>563</v>
      </c>
      <c r="H129" s="10" t="s">
        <v>449</v>
      </c>
      <c r="I129" s="10" t="s">
        <v>24</v>
      </c>
      <c r="J129" s="11">
        <v>610000.0</v>
      </c>
      <c r="K129" s="10" t="s">
        <v>450</v>
      </c>
      <c r="L129" s="25">
        <v>43313.0</v>
      </c>
      <c r="M129" s="28" t="s">
        <v>564</v>
      </c>
      <c r="N129" s="12" t="s">
        <v>565</v>
      </c>
      <c r="O129" s="15">
        <f t="shared" si="1"/>
        <v>2018</v>
      </c>
      <c r="P129" s="16" t="str">
        <f t="shared" si="2"/>
        <v>PLN</v>
      </c>
      <c r="Q129" s="15">
        <f>IFERROR(__xludf.DUMMYFUNCTION("IFNA(INDEX(GOOGLEFINANCE(""Currency:USD""&amp;$P129,""price"",DATE(YEAR($L129),MONTH($L129),DAY($L129))),2,2),LOOKUP(P129,CurrencyCodes,UnitsPerUSD))"),3.6544)</f>
        <v>3.6544</v>
      </c>
      <c r="R129" s="17">
        <f t="shared" si="3"/>
        <v>166922.0665</v>
      </c>
    </row>
    <row r="130">
      <c r="A130" s="7">
        <v>43933.249471284726</v>
      </c>
      <c r="B130" s="18" t="s">
        <v>61</v>
      </c>
      <c r="C130" s="9">
        <v>12.0</v>
      </c>
      <c r="D130" s="8" t="s">
        <v>566</v>
      </c>
      <c r="E130" s="18" t="s">
        <v>567</v>
      </c>
      <c r="F130" s="8" t="s">
        <v>568</v>
      </c>
      <c r="G130" s="19" t="s">
        <v>569</v>
      </c>
      <c r="H130" s="21" t="s">
        <v>449</v>
      </c>
      <c r="I130" s="21" t="s">
        <v>24</v>
      </c>
      <c r="J130" s="11">
        <v>1.341E7</v>
      </c>
      <c r="K130" s="21" t="s">
        <v>450</v>
      </c>
      <c r="L130" s="25">
        <v>43201.0</v>
      </c>
      <c r="M130" s="28" t="s">
        <v>570</v>
      </c>
      <c r="N130" s="27" t="s">
        <v>571</v>
      </c>
      <c r="O130" s="15">
        <f t="shared" si="1"/>
        <v>2018</v>
      </c>
      <c r="P130" s="16" t="str">
        <f t="shared" si="2"/>
        <v>PLN</v>
      </c>
      <c r="Q130" s="15">
        <f>IFERROR(__xludf.DUMMYFUNCTION("IFNA(INDEX(GOOGLEFINANCE(""Currency:USD""&amp;$P130,""price"",DATE(YEAR($L130),MONTH($L130),DAY($L130))),2,2),LOOKUP(P130,CurrencyCodes,UnitsPerUSD))"),3.3824)</f>
        <v>3.3824</v>
      </c>
      <c r="R130" s="17">
        <f t="shared" si="3"/>
        <v>3964640.492</v>
      </c>
    </row>
    <row r="131">
      <c r="A131" s="7">
        <v>44083.29732362268</v>
      </c>
      <c r="B131" s="8" t="s">
        <v>18</v>
      </c>
      <c r="C131" s="9">
        <v>7.0</v>
      </c>
      <c r="D131" s="8" t="s">
        <v>572</v>
      </c>
      <c r="E131" s="8" t="s">
        <v>573</v>
      </c>
      <c r="F131" s="8" t="s">
        <v>574</v>
      </c>
      <c r="G131" s="9" t="s">
        <v>575</v>
      </c>
      <c r="H131" s="10" t="s">
        <v>449</v>
      </c>
      <c r="I131" s="10" t="s">
        <v>24</v>
      </c>
      <c r="J131" s="11">
        <v>320000.0</v>
      </c>
      <c r="K131" s="10" t="s">
        <v>450</v>
      </c>
      <c r="L131" s="25">
        <v>43831.0</v>
      </c>
      <c r="M131" s="14" t="s">
        <v>576</v>
      </c>
      <c r="N131" s="10"/>
      <c r="O131" s="15">
        <f t="shared" si="1"/>
        <v>2020</v>
      </c>
      <c r="P131" s="16" t="str">
        <f t="shared" si="2"/>
        <v>PLN</v>
      </c>
      <c r="Q131" s="15">
        <f>IFERROR(__xludf.DUMMYFUNCTION("IFNA(INDEX(GOOGLEFINANCE(""Currency:USD""&amp;$P131,""price"",DATE(YEAR($L131),MONTH($L131),DAY($L131))),2,2),LOOKUP(P131,CurrencyCodes,UnitsPerUSD))"),3.79265)</f>
        <v>3.79265</v>
      </c>
      <c r="R131" s="17">
        <f t="shared" si="3"/>
        <v>84373.72286</v>
      </c>
    </row>
    <row r="132">
      <c r="A132" s="7">
        <v>44083.363254282405</v>
      </c>
      <c r="B132" s="8" t="s">
        <v>61</v>
      </c>
      <c r="C132" s="9"/>
      <c r="D132" s="8" t="s">
        <v>577</v>
      </c>
      <c r="E132" s="8" t="s">
        <v>578</v>
      </c>
      <c r="F132" s="8" t="s">
        <v>579</v>
      </c>
      <c r="G132" s="9" t="s">
        <v>580</v>
      </c>
      <c r="H132" s="10" t="s">
        <v>449</v>
      </c>
      <c r="I132" s="10" t="s">
        <v>24</v>
      </c>
      <c r="J132" s="11">
        <v>70000.0</v>
      </c>
      <c r="K132" s="10" t="s">
        <v>450</v>
      </c>
      <c r="L132" s="25">
        <v>43801.0</v>
      </c>
      <c r="M132" s="28" t="s">
        <v>581</v>
      </c>
      <c r="N132" s="12" t="s">
        <v>582</v>
      </c>
      <c r="O132" s="15">
        <f t="shared" si="1"/>
        <v>2019</v>
      </c>
      <c r="P132" s="16" t="str">
        <f t="shared" si="2"/>
        <v>PLN</v>
      </c>
      <c r="Q132" s="15">
        <f>IFERROR(__xludf.DUMMYFUNCTION("IFNA(INDEX(GOOGLEFINANCE(""Currency:USD""&amp;$P132,""price"",DATE(YEAR($L132),MONTH($L132),DAY($L132))),2,2),LOOKUP(P132,CurrencyCodes,UnitsPerUSD))"),3.87079)</f>
        <v>3.87079</v>
      </c>
      <c r="R132" s="17">
        <f t="shared" si="3"/>
        <v>18084.1637</v>
      </c>
    </row>
    <row r="133">
      <c r="A133" s="7">
        <v>44083.33989729166</v>
      </c>
      <c r="B133" s="8" t="s">
        <v>61</v>
      </c>
      <c r="C133" s="9" t="s">
        <v>583</v>
      </c>
      <c r="D133" s="8" t="s">
        <v>584</v>
      </c>
      <c r="E133" s="8" t="s">
        <v>585</v>
      </c>
      <c r="F133" s="8" t="s">
        <v>586</v>
      </c>
      <c r="G133" s="9" t="s">
        <v>587</v>
      </c>
      <c r="H133" s="10" t="s">
        <v>449</v>
      </c>
      <c r="I133" s="10" t="s">
        <v>24</v>
      </c>
      <c r="J133" s="11">
        <v>200000.0</v>
      </c>
      <c r="K133" s="10" t="s">
        <v>450</v>
      </c>
      <c r="L133" s="25">
        <v>44056.0</v>
      </c>
      <c r="M133" s="14" t="s">
        <v>588</v>
      </c>
      <c r="N133" s="10"/>
      <c r="O133" s="15">
        <f t="shared" si="1"/>
        <v>2020</v>
      </c>
      <c r="P133" s="16" t="str">
        <f t="shared" si="2"/>
        <v>PLN</v>
      </c>
      <c r="Q133" s="15">
        <f>IFERROR(__xludf.DUMMYFUNCTION("IFNA(INDEX(GOOGLEFINANCE(""Currency:USD""&amp;$P133,""price"",DATE(YEAR($L133),MONTH($L133),DAY($L133))),2,2),LOOKUP(P133,CurrencyCodes,UnitsPerUSD))"),3.7227)</f>
        <v>3.7227</v>
      </c>
      <c r="R133" s="17">
        <f t="shared" si="3"/>
        <v>53724.44731</v>
      </c>
    </row>
    <row r="134">
      <c r="A134" s="7">
        <v>44083.34301986111</v>
      </c>
      <c r="B134" s="8" t="s">
        <v>443</v>
      </c>
      <c r="C134" s="9">
        <v>14.0</v>
      </c>
      <c r="D134" s="8" t="s">
        <v>589</v>
      </c>
      <c r="E134" s="8" t="s">
        <v>590</v>
      </c>
      <c r="F134" s="8" t="s">
        <v>591</v>
      </c>
      <c r="G134" s="9" t="s">
        <v>592</v>
      </c>
      <c r="H134" s="10" t="s">
        <v>449</v>
      </c>
      <c r="I134" s="10" t="s">
        <v>24</v>
      </c>
      <c r="J134" s="11">
        <v>189000.0</v>
      </c>
      <c r="K134" s="10" t="s">
        <v>450</v>
      </c>
      <c r="L134" s="25">
        <v>44082.0</v>
      </c>
      <c r="M134" s="28" t="s">
        <v>593</v>
      </c>
      <c r="N134" s="10" t="s">
        <v>594</v>
      </c>
      <c r="O134" s="15">
        <f t="shared" si="1"/>
        <v>2020</v>
      </c>
      <c r="P134" s="16" t="str">
        <f t="shared" si="2"/>
        <v>PLN</v>
      </c>
      <c r="Q134" s="15">
        <f>IFERROR(__xludf.DUMMYFUNCTION("IFNA(INDEX(GOOGLEFINANCE(""Currency:USD""&amp;$P134,""price"",DATE(YEAR($L134),MONTH($L134),DAY($L134))),2,2),LOOKUP(P134,CurrencyCodes,UnitsPerUSD))"),3.78295)</f>
        <v>3.78295</v>
      </c>
      <c r="R134" s="17">
        <f t="shared" si="3"/>
        <v>49961.00927</v>
      </c>
    </row>
    <row r="135">
      <c r="A135" s="7">
        <v>44083.32678945602</v>
      </c>
      <c r="B135" s="8" t="s">
        <v>18</v>
      </c>
      <c r="C135" s="9">
        <v>26.0</v>
      </c>
      <c r="D135" s="8" t="s">
        <v>595</v>
      </c>
      <c r="E135" s="8" t="s">
        <v>596</v>
      </c>
      <c r="F135" s="8" t="s">
        <v>597</v>
      </c>
      <c r="G135" s="9" t="s">
        <v>598</v>
      </c>
      <c r="H135" s="10" t="s">
        <v>449</v>
      </c>
      <c r="I135" s="10" t="s">
        <v>24</v>
      </c>
      <c r="J135" s="11">
        <v>490000.0</v>
      </c>
      <c r="K135" s="10" t="s">
        <v>450</v>
      </c>
      <c r="L135" s="25">
        <v>44060.0</v>
      </c>
      <c r="M135" s="14" t="s">
        <v>599</v>
      </c>
      <c r="N135" s="10"/>
      <c r="O135" s="15">
        <f t="shared" si="1"/>
        <v>2020</v>
      </c>
      <c r="P135" s="16" t="str">
        <f t="shared" si="2"/>
        <v>PLN</v>
      </c>
      <c r="Q135" s="15">
        <f>IFERROR(__xludf.DUMMYFUNCTION("IFNA(INDEX(GOOGLEFINANCE(""Currency:USD""&amp;$P135,""price"",DATE(YEAR($L135),MONTH($L135),DAY($L135))),2,2),LOOKUP(P135,CurrencyCodes,UnitsPerUSD))"),3.702695)</f>
        <v>3.702695</v>
      </c>
      <c r="R135" s="17">
        <f t="shared" si="3"/>
        <v>132336.0417</v>
      </c>
    </row>
    <row r="136">
      <c r="A136" s="7">
        <v>44083.30977678241</v>
      </c>
      <c r="B136" s="8" t="s">
        <v>18</v>
      </c>
      <c r="C136" s="9">
        <v>30.0</v>
      </c>
      <c r="D136" s="8" t="s">
        <v>600</v>
      </c>
      <c r="E136" s="8" t="s">
        <v>601</v>
      </c>
      <c r="F136" s="8" t="s">
        <v>602</v>
      </c>
      <c r="G136" s="9" t="s">
        <v>603</v>
      </c>
      <c r="H136" s="10" t="s">
        <v>449</v>
      </c>
      <c r="I136" s="10" t="s">
        <v>39</v>
      </c>
      <c r="J136" s="11">
        <v>360000.0</v>
      </c>
      <c r="K136" s="10" t="s">
        <v>450</v>
      </c>
      <c r="L136" s="25">
        <v>44082.0</v>
      </c>
      <c r="M136" s="28" t="s">
        <v>604</v>
      </c>
      <c r="N136" s="12" t="s">
        <v>605</v>
      </c>
      <c r="O136" s="15">
        <f t="shared" si="1"/>
        <v>2020</v>
      </c>
      <c r="P136" s="16" t="str">
        <f t="shared" si="2"/>
        <v>PLN</v>
      </c>
      <c r="Q136" s="15">
        <f>IFERROR(__xludf.DUMMYFUNCTION("IFNA(INDEX(GOOGLEFINANCE(""Currency:USD""&amp;$P136,""price"",DATE(YEAR($L136),MONTH($L136),DAY($L136))),2,2),LOOKUP(P136,CurrencyCodes,UnitsPerUSD))"),3.78295)</f>
        <v>3.78295</v>
      </c>
      <c r="R136" s="17">
        <f t="shared" si="3"/>
        <v>95163.82717</v>
      </c>
    </row>
    <row r="137">
      <c r="A137" s="7">
        <v>44061.508955150464</v>
      </c>
      <c r="B137" s="8" t="s">
        <v>18</v>
      </c>
      <c r="C137" s="9" t="s">
        <v>606</v>
      </c>
      <c r="D137" s="8" t="s">
        <v>607</v>
      </c>
      <c r="E137" s="8" t="s">
        <v>608</v>
      </c>
      <c r="F137" s="8" t="s">
        <v>602</v>
      </c>
      <c r="G137" s="9" t="s">
        <v>609</v>
      </c>
      <c r="H137" s="10" t="s">
        <v>449</v>
      </c>
      <c r="I137" s="10" t="s">
        <v>24</v>
      </c>
      <c r="J137" s="11">
        <v>800000.0</v>
      </c>
      <c r="K137" s="10" t="s">
        <v>450</v>
      </c>
      <c r="L137" s="25">
        <v>43922.0</v>
      </c>
      <c r="M137" s="14" t="s">
        <v>610</v>
      </c>
      <c r="N137" s="10"/>
      <c r="O137" s="15">
        <f t="shared" si="1"/>
        <v>2020</v>
      </c>
      <c r="P137" s="16" t="str">
        <f t="shared" si="2"/>
        <v>PLN</v>
      </c>
      <c r="Q137" s="15">
        <f>IFERROR(__xludf.DUMMYFUNCTION("IFNA(INDEX(GOOGLEFINANCE(""Currency:USD""&amp;$P137,""price"",DATE(YEAR($L137),MONTH($L137),DAY($L137))),2,2),LOOKUP(P137,CurrencyCodes,UnitsPerUSD))"),4.19705)</f>
        <v>4.19705</v>
      </c>
      <c r="R137" s="17">
        <f t="shared" si="3"/>
        <v>190610.0714</v>
      </c>
    </row>
    <row r="138">
      <c r="A138" s="7">
        <v>44083.34704894676</v>
      </c>
      <c r="B138" s="8" t="s">
        <v>611</v>
      </c>
      <c r="C138" s="9">
        <v>94.0</v>
      </c>
      <c r="D138" s="8" t="s">
        <v>612</v>
      </c>
      <c r="E138" s="8" t="s">
        <v>612</v>
      </c>
      <c r="F138" s="8" t="s">
        <v>613</v>
      </c>
      <c r="G138" s="9" t="s">
        <v>614</v>
      </c>
      <c r="H138" s="10" t="s">
        <v>449</v>
      </c>
      <c r="I138" s="10" t="s">
        <v>39</v>
      </c>
      <c r="J138" s="11">
        <v>190000.0</v>
      </c>
      <c r="K138" s="10" t="s">
        <v>450</v>
      </c>
      <c r="L138" s="25">
        <v>44082.0</v>
      </c>
      <c r="M138" s="28" t="s">
        <v>615</v>
      </c>
      <c r="N138" s="12" t="s">
        <v>616</v>
      </c>
      <c r="O138" s="15">
        <f t="shared" si="1"/>
        <v>2020</v>
      </c>
      <c r="P138" s="16" t="str">
        <f t="shared" si="2"/>
        <v>PLN</v>
      </c>
      <c r="Q138" s="15">
        <f>IFERROR(__xludf.DUMMYFUNCTION("IFNA(INDEX(GOOGLEFINANCE(""Currency:USD""&amp;$P138,""price"",DATE(YEAR($L138),MONTH($L138),DAY($L138))),2,2),LOOKUP(P138,CurrencyCodes,UnitsPerUSD))"),3.78295)</f>
        <v>3.78295</v>
      </c>
      <c r="R138" s="17">
        <f t="shared" si="3"/>
        <v>50225.35323</v>
      </c>
    </row>
    <row r="139">
      <c r="A139" s="7">
        <v>44083.35481880787</v>
      </c>
      <c r="B139" s="8" t="s">
        <v>61</v>
      </c>
      <c r="C139" s="9">
        <v>12.0</v>
      </c>
      <c r="D139" s="8" t="s">
        <v>566</v>
      </c>
      <c r="E139" s="8" t="s">
        <v>567</v>
      </c>
      <c r="F139" s="8" t="s">
        <v>617</v>
      </c>
      <c r="G139" s="9" t="s">
        <v>569</v>
      </c>
      <c r="H139" s="10" t="s">
        <v>449</v>
      </c>
      <c r="I139" s="10" t="s">
        <v>24</v>
      </c>
      <c r="J139" s="11">
        <v>1.341E7</v>
      </c>
      <c r="K139" s="10" t="s">
        <v>450</v>
      </c>
      <c r="L139" s="25">
        <v>43010.0</v>
      </c>
      <c r="M139" s="14" t="s">
        <v>570</v>
      </c>
      <c r="N139" s="10"/>
      <c r="O139" s="15">
        <f t="shared" si="1"/>
        <v>2017</v>
      </c>
      <c r="P139" s="16" t="str">
        <f t="shared" si="2"/>
        <v>PLN</v>
      </c>
      <c r="Q139" s="15">
        <f>IFERROR(__xludf.DUMMYFUNCTION("IFNA(INDEX(GOOGLEFINANCE(""Currency:USD""&amp;$P139,""price"",DATE(YEAR($L139),MONTH($L139),DAY($L139))),2,2),LOOKUP(P139,CurrencyCodes,UnitsPerUSD))"),3.67206)</f>
        <v>3.67206</v>
      </c>
      <c r="R139" s="17">
        <f t="shared" si="3"/>
        <v>3651901.113</v>
      </c>
    </row>
    <row r="140">
      <c r="A140" s="7">
        <v>44083.29912130787</v>
      </c>
      <c r="B140" s="8" t="s">
        <v>18</v>
      </c>
      <c r="C140" s="9" t="s">
        <v>618</v>
      </c>
      <c r="D140" s="8" t="s">
        <v>619</v>
      </c>
      <c r="E140" s="8" t="s">
        <v>620</v>
      </c>
      <c r="F140" s="8" t="s">
        <v>621</v>
      </c>
      <c r="G140" s="9" t="s">
        <v>622</v>
      </c>
      <c r="H140" s="10" t="s">
        <v>449</v>
      </c>
      <c r="I140" s="10" t="s">
        <v>24</v>
      </c>
      <c r="J140" s="11">
        <v>99000.0</v>
      </c>
      <c r="K140" s="10" t="s">
        <v>450</v>
      </c>
      <c r="L140" s="25">
        <v>43862.0</v>
      </c>
      <c r="M140" s="14" t="s">
        <v>623</v>
      </c>
      <c r="N140" s="10"/>
      <c r="O140" s="15">
        <f t="shared" si="1"/>
        <v>2020</v>
      </c>
      <c r="P140" s="16" t="str">
        <f t="shared" si="2"/>
        <v>PLN</v>
      </c>
      <c r="Q140" s="15">
        <f>IFERROR(__xludf.DUMMYFUNCTION("IFNA(INDEX(GOOGLEFINANCE(""Currency:USD""&amp;$P140,""price"",DATE(YEAR($L140),MONTH($L140),DAY($L140))),2,2),LOOKUP(P140,CurrencyCodes,UnitsPerUSD))"),3.8729)</f>
        <v>3.8729</v>
      </c>
      <c r="R140" s="17">
        <f t="shared" si="3"/>
        <v>25562.24018</v>
      </c>
    </row>
    <row r="141">
      <c r="A141" s="7">
        <v>44083.439990416664</v>
      </c>
      <c r="B141" s="8" t="s">
        <v>61</v>
      </c>
      <c r="C141" s="9">
        <v>1.0</v>
      </c>
      <c r="D141" s="8" t="s">
        <v>624</v>
      </c>
      <c r="E141" s="8" t="s">
        <v>625</v>
      </c>
      <c r="F141" s="8" t="s">
        <v>626</v>
      </c>
      <c r="G141" s="9" t="s">
        <v>627</v>
      </c>
      <c r="H141" s="10" t="s">
        <v>449</v>
      </c>
      <c r="I141" s="10" t="s">
        <v>24</v>
      </c>
      <c r="J141" s="11">
        <v>212000.0</v>
      </c>
      <c r="K141" s="10" t="s">
        <v>450</v>
      </c>
      <c r="L141" s="25">
        <v>44046.0</v>
      </c>
      <c r="M141" s="14" t="s">
        <v>628</v>
      </c>
      <c r="N141" s="10"/>
      <c r="O141" s="15">
        <f t="shared" si="1"/>
        <v>2020</v>
      </c>
      <c r="P141" s="16" t="str">
        <f t="shared" si="2"/>
        <v>PLN</v>
      </c>
      <c r="Q141" s="15">
        <f>IFERROR(__xludf.DUMMYFUNCTION("IFNA(INDEX(GOOGLEFINANCE(""Currency:USD""&amp;$P141,""price"",DATE(YEAR($L141),MONTH($L141),DAY($L141))),2,2),LOOKUP(P141,CurrencyCodes,UnitsPerUSD))"),3.75175)</f>
        <v>3.75175</v>
      </c>
      <c r="R141" s="17">
        <f t="shared" si="3"/>
        <v>56506.96342</v>
      </c>
    </row>
    <row r="142">
      <c r="A142" s="7">
        <v>44083.27319554398</v>
      </c>
      <c r="B142" s="8" t="s">
        <v>18</v>
      </c>
      <c r="C142" s="9">
        <v>6.0</v>
      </c>
      <c r="D142" s="8" t="s">
        <v>629</v>
      </c>
      <c r="E142" s="8" t="s">
        <v>630</v>
      </c>
      <c r="F142" s="8" t="s">
        <v>631</v>
      </c>
      <c r="G142" s="9" t="s">
        <v>632</v>
      </c>
      <c r="H142" s="10" t="s">
        <v>449</v>
      </c>
      <c r="I142" s="10" t="s">
        <v>39</v>
      </c>
      <c r="J142" s="11">
        <v>449000.0</v>
      </c>
      <c r="K142" s="10" t="s">
        <v>450</v>
      </c>
      <c r="L142" s="25">
        <v>44081.0</v>
      </c>
      <c r="M142" s="28" t="s">
        <v>633</v>
      </c>
      <c r="N142" s="12" t="s">
        <v>634</v>
      </c>
      <c r="O142" s="15">
        <f t="shared" si="1"/>
        <v>2020</v>
      </c>
      <c r="P142" s="16" t="str">
        <f t="shared" si="2"/>
        <v>PLN</v>
      </c>
      <c r="Q142" s="15">
        <f>IFERROR(__xludf.DUMMYFUNCTION("IFNA(INDEX(GOOGLEFINANCE(""Currency:USD""&amp;$P142,""price"",DATE(YEAR($L142),MONTH($L142),DAY($L142))),2,2),LOOKUP(P142,CurrencyCodes,UnitsPerUSD))"),3.752275)</f>
        <v>3.752275</v>
      </c>
      <c r="R142" s="17">
        <f t="shared" si="3"/>
        <v>119660.7392</v>
      </c>
    </row>
    <row r="143">
      <c r="A143" s="7">
        <v>44083.31608498843</v>
      </c>
      <c r="B143" s="8" t="s">
        <v>18</v>
      </c>
      <c r="C143" s="9">
        <v>24.0</v>
      </c>
      <c r="D143" s="8" t="s">
        <v>635</v>
      </c>
      <c r="E143" s="8" t="s">
        <v>636</v>
      </c>
      <c r="F143" s="8" t="s">
        <v>637</v>
      </c>
      <c r="G143" s="9" t="s">
        <v>638</v>
      </c>
      <c r="H143" s="10" t="s">
        <v>449</v>
      </c>
      <c r="I143" s="10" t="s">
        <v>24</v>
      </c>
      <c r="J143" s="11">
        <v>1995000.0</v>
      </c>
      <c r="K143" s="10" t="s">
        <v>450</v>
      </c>
      <c r="L143" s="25">
        <v>43892.0</v>
      </c>
      <c r="M143" s="14" t="s">
        <v>639</v>
      </c>
      <c r="N143" s="10"/>
      <c r="O143" s="15">
        <f t="shared" si="1"/>
        <v>2020</v>
      </c>
      <c r="P143" s="16" t="str">
        <f t="shared" si="2"/>
        <v>PLN</v>
      </c>
      <c r="Q143" s="15">
        <f>IFERROR(__xludf.DUMMYFUNCTION("IFNA(INDEX(GOOGLEFINANCE(""Currency:USD""&amp;$P143,""price"",DATE(YEAR($L143),MONTH($L143),DAY($L143))),2,2),LOOKUP(P143,CurrencyCodes,UnitsPerUSD))"),3.87445)</f>
        <v>3.87445</v>
      </c>
      <c r="R143" s="17">
        <f t="shared" si="3"/>
        <v>514911.7939</v>
      </c>
    </row>
    <row r="144">
      <c r="A144" s="7">
        <v>44083.28694696759</v>
      </c>
      <c r="B144" s="8" t="s">
        <v>18</v>
      </c>
      <c r="C144" s="9" t="s">
        <v>640</v>
      </c>
      <c r="D144" s="8" t="s">
        <v>641</v>
      </c>
      <c r="E144" s="8" t="s">
        <v>642</v>
      </c>
      <c r="F144" s="8" t="s">
        <v>643</v>
      </c>
      <c r="G144" s="9" t="s">
        <v>644</v>
      </c>
      <c r="H144" s="10" t="s">
        <v>449</v>
      </c>
      <c r="I144" s="10" t="s">
        <v>24</v>
      </c>
      <c r="J144" s="11">
        <v>390000.0</v>
      </c>
      <c r="K144" s="10" t="s">
        <v>450</v>
      </c>
      <c r="L144" s="25">
        <v>43831.0</v>
      </c>
      <c r="M144" s="14" t="s">
        <v>645</v>
      </c>
      <c r="N144" s="10"/>
      <c r="O144" s="15">
        <f t="shared" si="1"/>
        <v>2020</v>
      </c>
      <c r="P144" s="16" t="str">
        <f t="shared" si="2"/>
        <v>PLN</v>
      </c>
      <c r="Q144" s="15">
        <f>IFERROR(__xludf.DUMMYFUNCTION("IFNA(INDEX(GOOGLEFINANCE(""Currency:USD""&amp;$P144,""price"",DATE(YEAR($L144),MONTH($L144),DAY($L144))),2,2),LOOKUP(P144,CurrencyCodes,UnitsPerUSD))"),3.79265)</f>
        <v>3.79265</v>
      </c>
      <c r="R144" s="17">
        <f t="shared" si="3"/>
        <v>102830.4747</v>
      </c>
    </row>
    <row r="145">
      <c r="A145" s="7">
        <v>44083.26524202546</v>
      </c>
      <c r="B145" s="8" t="s">
        <v>18</v>
      </c>
      <c r="C145" s="9" t="s">
        <v>646</v>
      </c>
      <c r="D145" s="8" t="s">
        <v>647</v>
      </c>
      <c r="E145" s="8" t="s">
        <v>648</v>
      </c>
      <c r="F145" s="8" t="s">
        <v>649</v>
      </c>
      <c r="G145" s="9" t="s">
        <v>650</v>
      </c>
      <c r="H145" s="10" t="s">
        <v>449</v>
      </c>
      <c r="I145" s="10" t="s">
        <v>24</v>
      </c>
      <c r="J145" s="11">
        <v>159000.0</v>
      </c>
      <c r="K145" s="10" t="s">
        <v>450</v>
      </c>
      <c r="L145" s="25">
        <v>43678.0</v>
      </c>
      <c r="M145" s="14" t="s">
        <v>651</v>
      </c>
      <c r="N145" s="10"/>
      <c r="O145" s="15">
        <f t="shared" si="1"/>
        <v>2019</v>
      </c>
      <c r="P145" s="16" t="str">
        <f t="shared" si="2"/>
        <v>PLN</v>
      </c>
      <c r="Q145" s="15">
        <f>IFERROR(__xludf.DUMMYFUNCTION("IFNA(INDEX(GOOGLEFINANCE(""Currency:USD""&amp;$P145,""price"",DATE(YEAR($L145),MONTH($L145),DAY($L145))),2,2),LOOKUP(P145,CurrencyCodes,UnitsPerUSD))"),3.88915)</f>
        <v>3.88915</v>
      </c>
      <c r="R145" s="17">
        <f t="shared" si="3"/>
        <v>40882.96929</v>
      </c>
    </row>
    <row r="146">
      <c r="A146" s="7">
        <v>44083.38689711806</v>
      </c>
      <c r="B146" s="8" t="s">
        <v>61</v>
      </c>
      <c r="C146" s="9"/>
      <c r="D146" s="8" t="s">
        <v>652</v>
      </c>
      <c r="E146" s="8" t="s">
        <v>653</v>
      </c>
      <c r="F146" s="8" t="s">
        <v>654</v>
      </c>
      <c r="G146" s="9" t="s">
        <v>655</v>
      </c>
      <c r="H146" s="10" t="s">
        <v>449</v>
      </c>
      <c r="I146" s="10" t="s">
        <v>24</v>
      </c>
      <c r="J146" s="11">
        <v>110000.0</v>
      </c>
      <c r="K146" s="10" t="s">
        <v>450</v>
      </c>
      <c r="L146" s="25">
        <v>43983.0</v>
      </c>
      <c r="M146" s="28" t="s">
        <v>656</v>
      </c>
      <c r="N146" s="12" t="s">
        <v>657</v>
      </c>
      <c r="O146" s="15">
        <f t="shared" si="1"/>
        <v>2020</v>
      </c>
      <c r="P146" s="16" t="str">
        <f t="shared" si="2"/>
        <v>PLN</v>
      </c>
      <c r="Q146" s="15">
        <f>IFERROR(__xludf.DUMMYFUNCTION("IFNA(INDEX(GOOGLEFINANCE(""Currency:USD""&amp;$P146,""price"",DATE(YEAR($L146),MONTH($L146),DAY($L146))),2,2),LOOKUP(P146,CurrencyCodes,UnitsPerUSD))"),3.95845)</f>
        <v>3.95845</v>
      </c>
      <c r="R146" s="17">
        <f t="shared" si="3"/>
        <v>27788.65465</v>
      </c>
    </row>
    <row r="147">
      <c r="A147" s="7">
        <v>44083.36619395833</v>
      </c>
      <c r="B147" s="8" t="s">
        <v>443</v>
      </c>
      <c r="C147" s="9">
        <v>4.0</v>
      </c>
      <c r="D147" s="8" t="s">
        <v>658</v>
      </c>
      <c r="E147" s="8" t="s">
        <v>659</v>
      </c>
      <c r="F147" s="8" t="s">
        <v>660</v>
      </c>
      <c r="G147" s="9" t="s">
        <v>661</v>
      </c>
      <c r="H147" s="10" t="s">
        <v>449</v>
      </c>
      <c r="I147" s="10" t="s">
        <v>24</v>
      </c>
      <c r="J147" s="11">
        <v>95000.0</v>
      </c>
      <c r="K147" s="10" t="s">
        <v>450</v>
      </c>
      <c r="L147" s="25">
        <v>43922.0</v>
      </c>
      <c r="M147" s="14" t="s">
        <v>662</v>
      </c>
      <c r="N147" s="10"/>
      <c r="O147" s="15">
        <f t="shared" si="1"/>
        <v>2020</v>
      </c>
      <c r="P147" s="16" t="str">
        <f t="shared" si="2"/>
        <v>PLN</v>
      </c>
      <c r="Q147" s="15">
        <f>IFERROR(__xludf.DUMMYFUNCTION("IFNA(INDEX(GOOGLEFINANCE(""Currency:USD""&amp;$P147,""price"",DATE(YEAR($L147),MONTH($L147),DAY($L147))),2,2),LOOKUP(P147,CurrencyCodes,UnitsPerUSD))"),4.19705)</f>
        <v>4.19705</v>
      </c>
      <c r="R147" s="17">
        <f t="shared" si="3"/>
        <v>22634.94597</v>
      </c>
    </row>
    <row r="148">
      <c r="A148" s="7">
        <v>44083.41673140046</v>
      </c>
      <c r="B148" s="8" t="s">
        <v>61</v>
      </c>
      <c r="C148" s="9" t="s">
        <v>663</v>
      </c>
      <c r="D148" s="8" t="s">
        <v>664</v>
      </c>
      <c r="E148" s="8" t="s">
        <v>665</v>
      </c>
      <c r="F148" s="8" t="s">
        <v>666</v>
      </c>
      <c r="G148" s="9" t="s">
        <v>667</v>
      </c>
      <c r="H148" s="10" t="s">
        <v>449</v>
      </c>
      <c r="I148" s="10" t="s">
        <v>24</v>
      </c>
      <c r="J148" s="11">
        <v>55000.0</v>
      </c>
      <c r="K148" s="10" t="s">
        <v>450</v>
      </c>
      <c r="L148" s="25">
        <v>44060.0</v>
      </c>
      <c r="M148" s="14" t="s">
        <v>668</v>
      </c>
      <c r="N148" s="10"/>
      <c r="O148" s="15">
        <f t="shared" si="1"/>
        <v>2020</v>
      </c>
      <c r="P148" s="16" t="str">
        <f t="shared" si="2"/>
        <v>PLN</v>
      </c>
      <c r="Q148" s="15">
        <f>IFERROR(__xludf.DUMMYFUNCTION("IFNA(INDEX(GOOGLEFINANCE(""Currency:USD""&amp;$P148,""price"",DATE(YEAR($L148),MONTH($L148),DAY($L148))),2,2),LOOKUP(P148,CurrencyCodes,UnitsPerUSD))"),3.702695)</f>
        <v>3.702695</v>
      </c>
      <c r="R148" s="17">
        <f t="shared" si="3"/>
        <v>14854.0455</v>
      </c>
    </row>
    <row r="149">
      <c r="A149" s="7">
        <v>44083.33116403935</v>
      </c>
      <c r="B149" s="8" t="s">
        <v>18</v>
      </c>
      <c r="C149" s="9" t="s">
        <v>669</v>
      </c>
      <c r="D149" s="8" t="s">
        <v>664</v>
      </c>
      <c r="E149" s="8" t="s">
        <v>670</v>
      </c>
      <c r="F149" s="8" t="s">
        <v>671</v>
      </c>
      <c r="G149" s="9" t="s">
        <v>667</v>
      </c>
      <c r="H149" s="10" t="s">
        <v>449</v>
      </c>
      <c r="I149" s="10" t="s">
        <v>24</v>
      </c>
      <c r="J149" s="11">
        <v>315000.0</v>
      </c>
      <c r="K149" s="10" t="s">
        <v>450</v>
      </c>
      <c r="L149" s="25">
        <v>44060.0</v>
      </c>
      <c r="M149" s="14" t="s">
        <v>672</v>
      </c>
      <c r="N149" s="10"/>
      <c r="O149" s="15">
        <f t="shared" si="1"/>
        <v>2020</v>
      </c>
      <c r="P149" s="16" t="str">
        <f t="shared" si="2"/>
        <v>PLN</v>
      </c>
      <c r="Q149" s="15">
        <f>IFERROR(__xludf.DUMMYFUNCTION("IFNA(INDEX(GOOGLEFINANCE(""Currency:USD""&amp;$P149,""price"",DATE(YEAR($L149),MONTH($L149),DAY($L149))),2,2),LOOKUP(P149,CurrencyCodes,UnitsPerUSD))"),3.702695)</f>
        <v>3.702695</v>
      </c>
      <c r="R149" s="17">
        <f t="shared" si="3"/>
        <v>85073.16968</v>
      </c>
    </row>
    <row r="150">
      <c r="A150" s="7">
        <v>44083.31169877315</v>
      </c>
      <c r="B150" s="8" t="s">
        <v>18</v>
      </c>
      <c r="C150" s="9" t="s">
        <v>673</v>
      </c>
      <c r="D150" s="8" t="s">
        <v>674</v>
      </c>
      <c r="E150" s="8" t="s">
        <v>675</v>
      </c>
      <c r="F150" s="8"/>
      <c r="G150" s="9" t="s">
        <v>676</v>
      </c>
      <c r="H150" s="10" t="s">
        <v>449</v>
      </c>
      <c r="I150" s="10" t="s">
        <v>24</v>
      </c>
      <c r="J150" s="11">
        <v>750000.0</v>
      </c>
      <c r="K150" s="10" t="s">
        <v>450</v>
      </c>
      <c r="L150" s="25">
        <v>43892.0</v>
      </c>
      <c r="M150" s="14" t="s">
        <v>677</v>
      </c>
      <c r="N150" s="10"/>
      <c r="O150" s="15">
        <f t="shared" si="1"/>
        <v>2020</v>
      </c>
      <c r="P150" s="16" t="str">
        <f t="shared" si="2"/>
        <v>PLN</v>
      </c>
      <c r="Q150" s="15">
        <f>IFERROR(__xludf.DUMMYFUNCTION("IFNA(INDEX(GOOGLEFINANCE(""Currency:USD""&amp;$P150,""price"",DATE(YEAR($L150),MONTH($L150),DAY($L150))),2,2),LOOKUP(P150,CurrencyCodes,UnitsPerUSD))"),3.87445)</f>
        <v>3.87445</v>
      </c>
      <c r="R150" s="17">
        <f t="shared" si="3"/>
        <v>193575.8624</v>
      </c>
    </row>
    <row r="151">
      <c r="A151" s="7">
        <v>44083.3077022338</v>
      </c>
      <c r="B151" s="8" t="s">
        <v>18</v>
      </c>
      <c r="C151" s="9">
        <v>9.0</v>
      </c>
      <c r="D151" s="8" t="s">
        <v>678</v>
      </c>
      <c r="E151" s="8" t="s">
        <v>679</v>
      </c>
      <c r="F151" s="8"/>
      <c r="G151" s="9" t="s">
        <v>680</v>
      </c>
      <c r="H151" s="10" t="s">
        <v>449</v>
      </c>
      <c r="I151" s="10" t="s">
        <v>24</v>
      </c>
      <c r="J151" s="11">
        <v>290000.0</v>
      </c>
      <c r="K151" s="10" t="s">
        <v>450</v>
      </c>
      <c r="L151" s="25">
        <v>43862.0</v>
      </c>
      <c r="M151" s="14" t="s">
        <v>681</v>
      </c>
      <c r="N151" s="10"/>
      <c r="O151" s="15">
        <f t="shared" si="1"/>
        <v>2020</v>
      </c>
      <c r="P151" s="16" t="str">
        <f t="shared" si="2"/>
        <v>PLN</v>
      </c>
      <c r="Q151" s="15">
        <f>IFERROR(__xludf.DUMMYFUNCTION("IFNA(INDEX(GOOGLEFINANCE(""Currency:USD""&amp;$P151,""price"",DATE(YEAR($L151),MONTH($L151),DAY($L151))),2,2),LOOKUP(P151,CurrencyCodes,UnitsPerUSD))"),3.8729)</f>
        <v>3.8729</v>
      </c>
      <c r="R151" s="17">
        <f t="shared" si="3"/>
        <v>74879.28942</v>
      </c>
    </row>
    <row r="152">
      <c r="A152" s="7">
        <v>44027.40868798611</v>
      </c>
      <c r="B152" s="8" t="s">
        <v>18</v>
      </c>
      <c r="C152" s="9"/>
      <c r="D152" s="8" t="s">
        <v>682</v>
      </c>
      <c r="E152" s="8" t="s">
        <v>683</v>
      </c>
      <c r="F152" s="8" t="s">
        <v>684</v>
      </c>
      <c r="G152" s="9"/>
      <c r="H152" s="10" t="s">
        <v>685</v>
      </c>
      <c r="I152" s="10" t="s">
        <v>24</v>
      </c>
      <c r="J152" s="11">
        <v>280000.0</v>
      </c>
      <c r="K152" s="12" t="s">
        <v>25</v>
      </c>
      <c r="L152" s="13"/>
      <c r="M152" s="14" t="s">
        <v>686</v>
      </c>
      <c r="N152" s="10"/>
      <c r="O152" s="15" t="str">
        <f t="shared" si="1"/>
        <v>Unknown</v>
      </c>
      <c r="P152" s="16" t="str">
        <f t="shared" si="2"/>
        <v>USD</v>
      </c>
      <c r="Q152" s="15">
        <f>IFERROR(__xludf.DUMMYFUNCTION("IFNA(INDEX(GOOGLEFINANCE(""Currency:USD""&amp;$P152,""price"",DATE(YEAR($L152),MONTH($L152),DAY($L152))),2,2),LOOKUP(P152,CurrencyCodes,UnitsPerUSD))"),1.0)</f>
        <v>1</v>
      </c>
      <c r="R152" s="17">
        <f t="shared" si="3"/>
        <v>280000</v>
      </c>
    </row>
    <row r="153">
      <c r="A153" s="7">
        <v>43931.10361413195</v>
      </c>
      <c r="B153" s="18" t="s">
        <v>18</v>
      </c>
      <c r="C153" s="9"/>
      <c r="D153" s="8" t="s">
        <v>687</v>
      </c>
      <c r="E153" s="18" t="s">
        <v>688</v>
      </c>
      <c r="F153" s="8" t="s">
        <v>689</v>
      </c>
      <c r="G153" s="29" t="s">
        <v>690</v>
      </c>
      <c r="H153" s="21" t="s">
        <v>685</v>
      </c>
      <c r="I153" s="21" t="s">
        <v>24</v>
      </c>
      <c r="J153" s="11">
        <v>495000.0</v>
      </c>
      <c r="K153" s="21" t="s">
        <v>25</v>
      </c>
      <c r="L153" s="25">
        <v>43497.0</v>
      </c>
      <c r="M153" s="28" t="s">
        <v>691</v>
      </c>
      <c r="N153" s="21" t="s">
        <v>692</v>
      </c>
      <c r="O153" s="15">
        <f t="shared" si="1"/>
        <v>2019</v>
      </c>
      <c r="P153" s="16" t="str">
        <f t="shared" si="2"/>
        <v>USD</v>
      </c>
      <c r="Q153" s="15">
        <f>IFERROR(__xludf.DUMMYFUNCTION("IFNA(INDEX(GOOGLEFINANCE(""Currency:USD""&amp;$P153,""price"",DATE(YEAR($L153),MONTH($L153),DAY($L153))),2,2),LOOKUP(P153,CurrencyCodes,UnitsPerUSD))"),1.0)</f>
        <v>1</v>
      </c>
      <c r="R153" s="17">
        <f t="shared" si="3"/>
        <v>495000</v>
      </c>
    </row>
    <row r="154">
      <c r="A154" s="7">
        <v>43902.07603043981</v>
      </c>
      <c r="B154" s="18" t="s">
        <v>18</v>
      </c>
      <c r="C154" s="19">
        <v>182.0</v>
      </c>
      <c r="D154" s="18" t="s">
        <v>693</v>
      </c>
      <c r="E154" s="18" t="s">
        <v>694</v>
      </c>
      <c r="F154" s="18" t="s">
        <v>695</v>
      </c>
      <c r="G154" s="9"/>
      <c r="H154" s="21" t="s">
        <v>685</v>
      </c>
      <c r="I154" s="21" t="s">
        <v>24</v>
      </c>
      <c r="J154" s="11">
        <v>0.0</v>
      </c>
      <c r="K154" s="27" t="s">
        <v>25</v>
      </c>
      <c r="L154" s="22"/>
      <c r="M154" s="31" t="s">
        <v>696</v>
      </c>
      <c r="N154" s="21"/>
      <c r="O154" s="15" t="str">
        <f t="shared" si="1"/>
        <v>Unknown</v>
      </c>
      <c r="P154" s="16" t="str">
        <f t="shared" si="2"/>
        <v>USD</v>
      </c>
      <c r="Q154" s="15">
        <f>IFERROR(__xludf.DUMMYFUNCTION("IFNA(INDEX(GOOGLEFINANCE(""Currency:USD""&amp;$P154,""price"",DATE(YEAR($L154),MONTH($L154),DAY($L154))),2,2),LOOKUP(P154,CurrencyCodes,UnitsPerUSD))"),1.0)</f>
        <v>1</v>
      </c>
      <c r="R154" s="17">
        <f t="shared" si="3"/>
        <v>0</v>
      </c>
    </row>
    <row r="155">
      <c r="A155" s="7">
        <v>43898.558297800926</v>
      </c>
      <c r="B155" s="18" t="s">
        <v>18</v>
      </c>
      <c r="C155" s="19"/>
      <c r="D155" s="18"/>
      <c r="E155" s="18" t="s">
        <v>697</v>
      </c>
      <c r="F155" s="18"/>
      <c r="G155" s="19"/>
      <c r="H155" s="21" t="s">
        <v>685</v>
      </c>
      <c r="I155" s="21" t="s">
        <v>24</v>
      </c>
      <c r="J155" s="11">
        <v>99900.0</v>
      </c>
      <c r="K155" s="27" t="s">
        <v>25</v>
      </c>
      <c r="L155" s="22"/>
      <c r="M155" s="10"/>
      <c r="N155" s="21" t="s">
        <v>698</v>
      </c>
      <c r="O155" s="15" t="str">
        <f t="shared" si="1"/>
        <v>Unknown</v>
      </c>
      <c r="P155" s="16" t="str">
        <f t="shared" si="2"/>
        <v>USD</v>
      </c>
      <c r="Q155" s="15">
        <f>IFERROR(__xludf.DUMMYFUNCTION("IFNA(INDEX(GOOGLEFINANCE(""Currency:USD""&amp;$P155,""price"",DATE(YEAR($L155),MONTH($L155),DAY($L155))),2,2),LOOKUP(P155,CurrencyCodes,UnitsPerUSD))"),1.0)</f>
        <v>1</v>
      </c>
      <c r="R155" s="17">
        <f t="shared" si="3"/>
        <v>99900</v>
      </c>
    </row>
    <row r="156">
      <c r="A156" s="7">
        <v>43896.87340467593</v>
      </c>
      <c r="B156" s="8" t="s">
        <v>18</v>
      </c>
      <c r="C156" s="9"/>
      <c r="D156" s="8" t="s">
        <v>699</v>
      </c>
      <c r="E156" s="8" t="s">
        <v>688</v>
      </c>
      <c r="F156" s="8"/>
      <c r="G156" s="9"/>
      <c r="H156" s="10" t="s">
        <v>685</v>
      </c>
      <c r="I156" s="10" t="s">
        <v>39</v>
      </c>
      <c r="J156" s="11">
        <v>375000.0</v>
      </c>
      <c r="K156" s="12" t="s">
        <v>25</v>
      </c>
      <c r="L156" s="22"/>
      <c r="M156" s="10"/>
      <c r="N156" s="12" t="s">
        <v>700</v>
      </c>
      <c r="O156" s="15" t="str">
        <f t="shared" si="1"/>
        <v>Unknown</v>
      </c>
      <c r="P156" s="16" t="str">
        <f t="shared" si="2"/>
        <v>USD</v>
      </c>
      <c r="Q156" s="15">
        <f>IFERROR(__xludf.DUMMYFUNCTION("IFNA(INDEX(GOOGLEFINANCE(""Currency:USD""&amp;$P156,""price"",DATE(YEAR($L156),MONTH($L156),DAY($L156))),2,2),LOOKUP(P156,CurrencyCodes,UnitsPerUSD))"),1.0)</f>
        <v>1</v>
      </c>
      <c r="R156" s="17">
        <f t="shared" si="3"/>
        <v>375000</v>
      </c>
    </row>
    <row r="157">
      <c r="A157" s="7">
        <v>43898.58925152778</v>
      </c>
      <c r="B157" s="18" t="s">
        <v>18</v>
      </c>
      <c r="C157" s="19"/>
      <c r="D157" s="18" t="s">
        <v>701</v>
      </c>
      <c r="E157" s="18" t="s">
        <v>702</v>
      </c>
      <c r="F157" s="18"/>
      <c r="G157" s="32" t="s">
        <v>703</v>
      </c>
      <c r="H157" s="21" t="s">
        <v>685</v>
      </c>
      <c r="I157" s="21" t="s">
        <v>24</v>
      </c>
      <c r="J157" s="11">
        <v>129000.0</v>
      </c>
      <c r="K157" s="27" t="s">
        <v>25</v>
      </c>
      <c r="L157" s="22"/>
      <c r="M157" s="31" t="s">
        <v>704</v>
      </c>
      <c r="N157" s="10"/>
      <c r="O157" s="15" t="str">
        <f t="shared" si="1"/>
        <v>Unknown</v>
      </c>
      <c r="P157" s="16" t="str">
        <f t="shared" si="2"/>
        <v>USD</v>
      </c>
      <c r="Q157" s="15">
        <f>IFERROR(__xludf.DUMMYFUNCTION("IFNA(INDEX(GOOGLEFINANCE(""Currency:USD""&amp;$P157,""price"",DATE(YEAR($L157),MONTH($L157),DAY($L157))),2,2),LOOKUP(P157,CurrencyCodes,UnitsPerUSD))"),1.0)</f>
        <v>1</v>
      </c>
      <c r="R157" s="17">
        <f t="shared" si="3"/>
        <v>129000</v>
      </c>
    </row>
    <row r="158">
      <c r="A158" s="7">
        <v>43904.6502937037</v>
      </c>
      <c r="B158" s="18" t="s">
        <v>18</v>
      </c>
      <c r="C158" s="19"/>
      <c r="D158" s="18" t="s">
        <v>705</v>
      </c>
      <c r="E158" s="18" t="s">
        <v>706</v>
      </c>
      <c r="F158" s="18"/>
      <c r="G158" s="32" t="s">
        <v>707</v>
      </c>
      <c r="H158" s="21" t="s">
        <v>685</v>
      </c>
      <c r="I158" s="21" t="s">
        <v>24</v>
      </c>
      <c r="J158" s="11">
        <v>319000.0</v>
      </c>
      <c r="K158" s="27" t="s">
        <v>25</v>
      </c>
      <c r="L158" s="22"/>
      <c r="M158" s="24" t="s">
        <v>708</v>
      </c>
      <c r="N158" s="12" t="s">
        <v>709</v>
      </c>
      <c r="O158" s="15" t="str">
        <f t="shared" si="1"/>
        <v>Unknown</v>
      </c>
      <c r="P158" s="16" t="str">
        <f t="shared" si="2"/>
        <v>USD</v>
      </c>
      <c r="Q158" s="15">
        <f>IFERROR(__xludf.DUMMYFUNCTION("IFNA(INDEX(GOOGLEFINANCE(""Currency:USD""&amp;$P158,""price"",DATE(YEAR($L158),MONTH($L158),DAY($L158))),2,2),LOOKUP(P158,CurrencyCodes,UnitsPerUSD))"),1.0)</f>
        <v>1</v>
      </c>
      <c r="R158" s="17">
        <f t="shared" si="3"/>
        <v>319000</v>
      </c>
    </row>
    <row r="159">
      <c r="A159" s="7">
        <v>43897.51271255787</v>
      </c>
      <c r="B159" s="18" t="s">
        <v>18</v>
      </c>
      <c r="C159" s="9"/>
      <c r="D159" s="8"/>
      <c r="E159" s="18" t="s">
        <v>710</v>
      </c>
      <c r="F159" s="8"/>
      <c r="G159" s="9"/>
      <c r="H159" s="21" t="s">
        <v>685</v>
      </c>
      <c r="I159" s="21" t="s">
        <v>39</v>
      </c>
      <c r="J159" s="11">
        <v>0.0</v>
      </c>
      <c r="K159" s="27" t="s">
        <v>25</v>
      </c>
      <c r="L159" s="22"/>
      <c r="M159" s="10"/>
      <c r="N159" s="21" t="s">
        <v>711</v>
      </c>
      <c r="O159" s="15" t="str">
        <f t="shared" si="1"/>
        <v>Unknown</v>
      </c>
      <c r="P159" s="16" t="str">
        <f t="shared" si="2"/>
        <v>USD</v>
      </c>
      <c r="Q159" s="15">
        <f>IFERROR(__xludf.DUMMYFUNCTION("IFNA(INDEX(GOOGLEFINANCE(""Currency:USD""&amp;$P159,""price"",DATE(YEAR($L159),MONTH($L159),DAY($L159))),2,2),LOOKUP(P159,CurrencyCodes,UnitsPerUSD))"),1.0)</f>
        <v>1</v>
      </c>
      <c r="R159" s="17">
        <f t="shared" si="3"/>
        <v>0</v>
      </c>
    </row>
    <row r="160">
      <c r="A160" s="7">
        <v>43904.56630844907</v>
      </c>
      <c r="B160" s="18" t="s">
        <v>18</v>
      </c>
      <c r="C160" s="19"/>
      <c r="D160" s="18"/>
      <c r="E160" s="18" t="s">
        <v>712</v>
      </c>
      <c r="F160" s="18"/>
      <c r="G160" s="19"/>
      <c r="H160" s="21" t="s">
        <v>685</v>
      </c>
      <c r="I160" s="21" t="s">
        <v>24</v>
      </c>
      <c r="J160" s="11">
        <v>184900.0</v>
      </c>
      <c r="K160" s="27" t="s">
        <v>25</v>
      </c>
      <c r="L160" s="22"/>
      <c r="M160" s="21"/>
      <c r="N160" s="21" t="s">
        <v>713</v>
      </c>
      <c r="O160" s="15" t="str">
        <f t="shared" si="1"/>
        <v>Unknown</v>
      </c>
      <c r="P160" s="16" t="str">
        <f t="shared" si="2"/>
        <v>USD</v>
      </c>
      <c r="Q160" s="15">
        <f>IFERROR(__xludf.DUMMYFUNCTION("IFNA(INDEX(GOOGLEFINANCE(""Currency:USD""&amp;$P160,""price"",DATE(YEAR($L160),MONTH($L160),DAY($L160))),2,2),LOOKUP(P160,CurrencyCodes,UnitsPerUSD))"),1.0)</f>
        <v>1</v>
      </c>
      <c r="R160" s="17">
        <f t="shared" si="3"/>
        <v>184900</v>
      </c>
    </row>
    <row r="161">
      <c r="A161" s="7">
        <v>43904.57088702546</v>
      </c>
      <c r="B161" s="18" t="s">
        <v>18</v>
      </c>
      <c r="C161" s="19"/>
      <c r="D161" s="18"/>
      <c r="E161" s="18" t="s">
        <v>714</v>
      </c>
      <c r="F161" s="18"/>
      <c r="G161" s="9"/>
      <c r="H161" s="21" t="s">
        <v>685</v>
      </c>
      <c r="I161" s="21" t="s">
        <v>24</v>
      </c>
      <c r="J161" s="11">
        <v>199900.0</v>
      </c>
      <c r="K161" s="27" t="s">
        <v>25</v>
      </c>
      <c r="L161" s="22"/>
      <c r="M161" s="21"/>
      <c r="N161" s="21" t="s">
        <v>713</v>
      </c>
      <c r="O161" s="15" t="str">
        <f t="shared" si="1"/>
        <v>Unknown</v>
      </c>
      <c r="P161" s="16" t="str">
        <f t="shared" si="2"/>
        <v>USD</v>
      </c>
      <c r="Q161" s="15">
        <f>IFERROR(__xludf.DUMMYFUNCTION("IFNA(INDEX(GOOGLEFINANCE(""Currency:USD""&amp;$P161,""price"",DATE(YEAR($L161),MONTH($L161),DAY($L161))),2,2),LOOKUP(P161,CurrencyCodes,UnitsPerUSD))"),1.0)</f>
        <v>1</v>
      </c>
      <c r="R161" s="17">
        <f t="shared" si="3"/>
        <v>199900</v>
      </c>
    </row>
    <row r="162">
      <c r="A162" s="7">
        <v>43918.94505511574</v>
      </c>
      <c r="B162" s="18" t="s">
        <v>18</v>
      </c>
      <c r="C162" s="19"/>
      <c r="D162" s="18"/>
      <c r="E162" s="20" t="s">
        <v>715</v>
      </c>
      <c r="F162" s="18"/>
      <c r="G162" s="32" t="s">
        <v>716</v>
      </c>
      <c r="H162" s="21" t="s">
        <v>685</v>
      </c>
      <c r="I162" s="21" t="s">
        <v>24</v>
      </c>
      <c r="J162" s="11">
        <v>0.0</v>
      </c>
      <c r="K162" s="27" t="s">
        <v>25</v>
      </c>
      <c r="L162" s="22"/>
      <c r="M162" s="10"/>
      <c r="N162" s="33" t="s">
        <v>175</v>
      </c>
      <c r="O162" s="15" t="str">
        <f t="shared" si="1"/>
        <v>Unknown</v>
      </c>
      <c r="P162" s="16" t="str">
        <f t="shared" si="2"/>
        <v>USD</v>
      </c>
      <c r="Q162" s="15">
        <f>IFERROR(__xludf.DUMMYFUNCTION("IFNA(INDEX(GOOGLEFINANCE(""Currency:USD""&amp;$P162,""price"",DATE(YEAR($L162),MONTH($L162),DAY($L162))),2,2),LOOKUP(P162,CurrencyCodes,UnitsPerUSD))"),1.0)</f>
        <v>1</v>
      </c>
      <c r="R162" s="17">
        <f t="shared" si="3"/>
        <v>0</v>
      </c>
    </row>
    <row r="163">
      <c r="A163" s="7">
        <v>43905.89438520833</v>
      </c>
      <c r="B163" s="18" t="s">
        <v>18</v>
      </c>
      <c r="C163" s="19"/>
      <c r="D163" s="18"/>
      <c r="E163" s="18" t="s">
        <v>717</v>
      </c>
      <c r="F163" s="8"/>
      <c r="G163" s="19"/>
      <c r="H163" s="21" t="s">
        <v>685</v>
      </c>
      <c r="I163" s="21" t="s">
        <v>24</v>
      </c>
      <c r="J163" s="11">
        <v>0.0</v>
      </c>
      <c r="K163" s="27" t="s">
        <v>25</v>
      </c>
      <c r="L163" s="22"/>
      <c r="M163" s="21"/>
      <c r="N163" s="10" t="s">
        <v>718</v>
      </c>
      <c r="O163" s="15" t="str">
        <f t="shared" si="1"/>
        <v>Unknown</v>
      </c>
      <c r="P163" s="16" t="str">
        <f t="shared" si="2"/>
        <v>USD</v>
      </c>
      <c r="Q163" s="15">
        <f>IFERROR(__xludf.DUMMYFUNCTION("IFNA(INDEX(GOOGLEFINANCE(""Currency:USD""&amp;$P163,""price"",DATE(YEAR($L163),MONTH($L163),DAY($L163))),2,2),LOOKUP(P163,CurrencyCodes,UnitsPerUSD))"),1.0)</f>
        <v>1</v>
      </c>
      <c r="R163" s="17">
        <f t="shared" si="3"/>
        <v>0</v>
      </c>
    </row>
    <row r="164">
      <c r="A164" s="7">
        <v>43904.575553622686</v>
      </c>
      <c r="B164" s="18" t="s">
        <v>18</v>
      </c>
      <c r="C164" s="19"/>
      <c r="D164" s="18"/>
      <c r="E164" s="18" t="s">
        <v>719</v>
      </c>
      <c r="F164" s="18"/>
      <c r="G164" s="19"/>
      <c r="H164" s="21" t="s">
        <v>685</v>
      </c>
      <c r="I164" s="21" t="s">
        <v>24</v>
      </c>
      <c r="J164" s="11">
        <v>195000.0</v>
      </c>
      <c r="K164" s="27" t="s">
        <v>25</v>
      </c>
      <c r="L164" s="22"/>
      <c r="M164" s="21"/>
      <c r="N164" s="10" t="s">
        <v>713</v>
      </c>
      <c r="O164" s="15" t="str">
        <f t="shared" si="1"/>
        <v>Unknown</v>
      </c>
      <c r="P164" s="16" t="str">
        <f t="shared" si="2"/>
        <v>USD</v>
      </c>
      <c r="Q164" s="15">
        <f>IFERROR(__xludf.DUMMYFUNCTION("IFNA(INDEX(GOOGLEFINANCE(""Currency:USD""&amp;$P164,""price"",DATE(YEAR($L164),MONTH($L164),DAY($L164))),2,2),LOOKUP(P164,CurrencyCodes,UnitsPerUSD))"),1.0)</f>
        <v>1</v>
      </c>
      <c r="R164" s="17">
        <f t="shared" si="3"/>
        <v>195000</v>
      </c>
    </row>
    <row r="165">
      <c r="A165" s="7">
        <v>43904.58903956019</v>
      </c>
      <c r="B165" s="18" t="s">
        <v>18</v>
      </c>
      <c r="C165" s="19" t="s">
        <v>720</v>
      </c>
      <c r="D165" s="18" t="s">
        <v>721</v>
      </c>
      <c r="E165" s="18" t="s">
        <v>722</v>
      </c>
      <c r="F165" s="18"/>
      <c r="G165" s="32" t="s">
        <v>723</v>
      </c>
      <c r="H165" s="21" t="s">
        <v>685</v>
      </c>
      <c r="I165" s="21" t="s">
        <v>24</v>
      </c>
      <c r="J165" s="11">
        <v>254900.0</v>
      </c>
      <c r="K165" s="27" t="s">
        <v>25</v>
      </c>
      <c r="L165" s="22"/>
      <c r="M165" s="31" t="s">
        <v>724</v>
      </c>
      <c r="N165" s="10"/>
      <c r="O165" s="15" t="str">
        <f t="shared" si="1"/>
        <v>Unknown</v>
      </c>
      <c r="P165" s="16" t="str">
        <f t="shared" si="2"/>
        <v>USD</v>
      </c>
      <c r="Q165" s="15">
        <f>IFERROR(__xludf.DUMMYFUNCTION("IFNA(INDEX(GOOGLEFINANCE(""Currency:USD""&amp;$P165,""price"",DATE(YEAR($L165),MONTH($L165),DAY($L165))),2,2),LOOKUP(P165,CurrencyCodes,UnitsPerUSD))"),1.0)</f>
        <v>1</v>
      </c>
      <c r="R165" s="17">
        <f t="shared" si="3"/>
        <v>254900</v>
      </c>
    </row>
    <row r="166">
      <c r="A166" s="7">
        <v>43917.294956516205</v>
      </c>
      <c r="B166" s="18" t="s">
        <v>18</v>
      </c>
      <c r="C166" s="19"/>
      <c r="D166" s="18"/>
      <c r="E166" s="18" t="s">
        <v>725</v>
      </c>
      <c r="F166" s="18"/>
      <c r="G166" s="19"/>
      <c r="H166" s="21" t="s">
        <v>685</v>
      </c>
      <c r="I166" s="21" t="s">
        <v>24</v>
      </c>
      <c r="J166" s="11">
        <v>200000.0</v>
      </c>
      <c r="K166" s="21" t="s">
        <v>25</v>
      </c>
      <c r="L166" s="25">
        <v>43763.0</v>
      </c>
      <c r="M166" s="21"/>
      <c r="N166" s="27" t="s">
        <v>726</v>
      </c>
      <c r="O166" s="15">
        <f t="shared" si="1"/>
        <v>2019</v>
      </c>
      <c r="P166" s="16" t="str">
        <f t="shared" si="2"/>
        <v>USD</v>
      </c>
      <c r="Q166" s="15">
        <f>IFERROR(__xludf.DUMMYFUNCTION("IFNA(INDEX(GOOGLEFINANCE(""Currency:USD""&amp;$P166,""price"",DATE(YEAR($L166),MONTH($L166),DAY($L166))),2,2),LOOKUP(P166,CurrencyCodes,UnitsPerUSD))"),1.0)</f>
        <v>1</v>
      </c>
      <c r="R166" s="17">
        <f t="shared" si="3"/>
        <v>200000</v>
      </c>
    </row>
    <row r="167">
      <c r="A167" s="7">
        <v>43900.90710092592</v>
      </c>
      <c r="B167" s="18" t="s">
        <v>18</v>
      </c>
      <c r="C167" s="19"/>
      <c r="D167" s="18" t="s">
        <v>727</v>
      </c>
      <c r="E167" s="18" t="s">
        <v>728</v>
      </c>
      <c r="F167" s="18"/>
      <c r="G167" s="19"/>
      <c r="H167" s="21" t="s">
        <v>685</v>
      </c>
      <c r="I167" s="21" t="s">
        <v>24</v>
      </c>
      <c r="J167" s="11">
        <v>168000.0</v>
      </c>
      <c r="K167" s="27" t="s">
        <v>25</v>
      </c>
      <c r="L167" s="22"/>
      <c r="M167" s="21"/>
      <c r="N167" s="21"/>
      <c r="O167" s="15" t="str">
        <f t="shared" si="1"/>
        <v>Unknown</v>
      </c>
      <c r="P167" s="16" t="str">
        <f t="shared" si="2"/>
        <v>USD</v>
      </c>
      <c r="Q167" s="15">
        <f>IFERROR(__xludf.DUMMYFUNCTION("IFNA(INDEX(GOOGLEFINANCE(""Currency:USD""&amp;$P167,""price"",DATE(YEAR($L167),MONTH($L167),DAY($L167))),2,2),LOOKUP(P167,CurrencyCodes,UnitsPerUSD))"),1.0)</f>
        <v>1</v>
      </c>
      <c r="R167" s="17">
        <f t="shared" si="3"/>
        <v>168000</v>
      </c>
    </row>
    <row r="168">
      <c r="A168" s="7">
        <v>43900.90858224537</v>
      </c>
      <c r="B168" s="18" t="s">
        <v>18</v>
      </c>
      <c r="C168" s="19"/>
      <c r="D168" s="18" t="s">
        <v>729</v>
      </c>
      <c r="E168" s="18" t="s">
        <v>730</v>
      </c>
      <c r="F168" s="18"/>
      <c r="G168" s="19"/>
      <c r="H168" s="21" t="s">
        <v>685</v>
      </c>
      <c r="I168" s="21" t="s">
        <v>24</v>
      </c>
      <c r="J168" s="11">
        <v>0.0</v>
      </c>
      <c r="K168" s="27" t="s">
        <v>25</v>
      </c>
      <c r="L168" s="22"/>
      <c r="M168" s="21"/>
      <c r="N168" s="21" t="s">
        <v>713</v>
      </c>
      <c r="O168" s="15" t="str">
        <f t="shared" si="1"/>
        <v>Unknown</v>
      </c>
      <c r="P168" s="16" t="str">
        <f t="shared" si="2"/>
        <v>USD</v>
      </c>
      <c r="Q168" s="15">
        <f>IFERROR(__xludf.DUMMYFUNCTION("IFNA(INDEX(GOOGLEFINANCE(""Currency:USD""&amp;$P168,""price"",DATE(YEAR($L168),MONTH($L168),DAY($L168))),2,2),LOOKUP(P168,CurrencyCodes,UnitsPerUSD))"),1.0)</f>
        <v>1</v>
      </c>
      <c r="R168" s="17">
        <f t="shared" si="3"/>
        <v>0</v>
      </c>
    </row>
    <row r="169">
      <c r="A169" s="7">
        <v>43931.55161371527</v>
      </c>
      <c r="B169" s="18" t="s">
        <v>18</v>
      </c>
      <c r="C169" s="9">
        <v>24.0</v>
      </c>
      <c r="D169" s="8" t="s">
        <v>731</v>
      </c>
      <c r="E169" s="18" t="s">
        <v>732</v>
      </c>
      <c r="F169" s="18"/>
      <c r="G169" s="29" t="s">
        <v>733</v>
      </c>
      <c r="H169" s="21" t="s">
        <v>685</v>
      </c>
      <c r="I169" s="21" t="s">
        <v>24</v>
      </c>
      <c r="J169" s="11">
        <v>750000.0</v>
      </c>
      <c r="K169" s="27" t="s">
        <v>25</v>
      </c>
      <c r="L169" s="22"/>
      <c r="M169" s="28" t="s">
        <v>734</v>
      </c>
      <c r="N169" s="31" t="s">
        <v>735</v>
      </c>
      <c r="O169" s="15" t="str">
        <f t="shared" si="1"/>
        <v>Unknown</v>
      </c>
      <c r="P169" s="16" t="str">
        <f t="shared" si="2"/>
        <v>USD</v>
      </c>
      <c r="Q169" s="15">
        <f>IFERROR(__xludf.DUMMYFUNCTION("IFNA(INDEX(GOOGLEFINANCE(""Currency:USD""&amp;$P169,""price"",DATE(YEAR($L169),MONTH($L169),DAY($L169))),2,2),LOOKUP(P169,CurrencyCodes,UnitsPerUSD))"),1.0)</f>
        <v>1</v>
      </c>
      <c r="R169" s="17">
        <f t="shared" si="3"/>
        <v>750000</v>
      </c>
    </row>
    <row r="170">
      <c r="A170" s="7">
        <v>43913.78749693287</v>
      </c>
      <c r="B170" s="8" t="s">
        <v>18</v>
      </c>
      <c r="C170" s="9"/>
      <c r="D170" s="8"/>
      <c r="E170" s="8" t="s">
        <v>736</v>
      </c>
      <c r="F170" s="8"/>
      <c r="G170" s="9"/>
      <c r="H170" s="10" t="s">
        <v>685</v>
      </c>
      <c r="I170" s="10" t="s">
        <v>24</v>
      </c>
      <c r="J170" s="11">
        <v>0.0</v>
      </c>
      <c r="K170" s="10" t="s">
        <v>25</v>
      </c>
      <c r="L170" s="25">
        <v>43763.0</v>
      </c>
      <c r="M170" s="10"/>
      <c r="N170" s="12" t="s">
        <v>737</v>
      </c>
      <c r="O170" s="15">
        <f t="shared" si="1"/>
        <v>2019</v>
      </c>
      <c r="P170" s="16" t="str">
        <f t="shared" si="2"/>
        <v>USD</v>
      </c>
      <c r="Q170" s="15">
        <f>IFERROR(__xludf.DUMMYFUNCTION("IFNA(INDEX(GOOGLEFINANCE(""Currency:USD""&amp;$P170,""price"",DATE(YEAR($L170),MONTH($L170),DAY($L170))),2,2),LOOKUP(P170,CurrencyCodes,UnitsPerUSD))"),1.0)</f>
        <v>1</v>
      </c>
      <c r="R170" s="17">
        <f t="shared" si="3"/>
        <v>0</v>
      </c>
    </row>
    <row r="171">
      <c r="A171" s="7">
        <v>43904.66731238426</v>
      </c>
      <c r="B171" s="18" t="s">
        <v>18</v>
      </c>
      <c r="C171" s="19"/>
      <c r="D171" s="18"/>
      <c r="E171" s="18" t="s">
        <v>738</v>
      </c>
      <c r="F171" s="18"/>
      <c r="G171" s="32" t="s">
        <v>739</v>
      </c>
      <c r="H171" s="21" t="s">
        <v>685</v>
      </c>
      <c r="I171" s="21" t="s">
        <v>24</v>
      </c>
      <c r="J171" s="11">
        <v>130000.0</v>
      </c>
      <c r="K171" s="27" t="s">
        <v>25</v>
      </c>
      <c r="L171" s="22"/>
      <c r="M171" s="24" t="s">
        <v>735</v>
      </c>
      <c r="N171" s="21" t="s">
        <v>713</v>
      </c>
      <c r="O171" s="15" t="str">
        <f t="shared" si="1"/>
        <v>Unknown</v>
      </c>
      <c r="P171" s="16" t="str">
        <f t="shared" si="2"/>
        <v>USD</v>
      </c>
      <c r="Q171" s="15">
        <f>IFERROR(__xludf.DUMMYFUNCTION("IFNA(INDEX(GOOGLEFINANCE(""Currency:USD""&amp;$P171,""price"",DATE(YEAR($L171),MONTH($L171),DAY($L171))),2,2),LOOKUP(P171,CurrencyCodes,UnitsPerUSD))"),1.0)</f>
        <v>1</v>
      </c>
      <c r="R171" s="17">
        <f t="shared" si="3"/>
        <v>130000</v>
      </c>
    </row>
    <row r="172">
      <c r="A172" s="7">
        <v>43904.67888314815</v>
      </c>
      <c r="B172" s="18" t="s">
        <v>18</v>
      </c>
      <c r="C172" s="19"/>
      <c r="D172" s="18"/>
      <c r="E172" s="18" t="s">
        <v>740</v>
      </c>
      <c r="F172" s="18"/>
      <c r="G172" s="19"/>
      <c r="H172" s="21" t="s">
        <v>685</v>
      </c>
      <c r="I172" s="21" t="s">
        <v>24</v>
      </c>
      <c r="J172" s="11">
        <v>0.0</v>
      </c>
      <c r="K172" s="27" t="s">
        <v>25</v>
      </c>
      <c r="L172" s="22"/>
      <c r="M172" s="21"/>
      <c r="N172" s="21"/>
      <c r="O172" s="15" t="str">
        <f t="shared" si="1"/>
        <v>Unknown</v>
      </c>
      <c r="P172" s="16" t="str">
        <f t="shared" si="2"/>
        <v>USD</v>
      </c>
      <c r="Q172" s="15">
        <f>IFERROR(__xludf.DUMMYFUNCTION("IFNA(INDEX(GOOGLEFINANCE(""Currency:USD""&amp;$P172,""price"",DATE(YEAR($L172),MONTH($L172),DAY($L172))),2,2),LOOKUP(P172,CurrencyCodes,UnitsPerUSD))"),1.0)</f>
        <v>1</v>
      </c>
      <c r="R172" s="17">
        <f t="shared" si="3"/>
        <v>0</v>
      </c>
    </row>
    <row r="173">
      <c r="A173" s="7">
        <v>43904.69058023149</v>
      </c>
      <c r="B173" s="18" t="s">
        <v>18</v>
      </c>
      <c r="C173" s="19"/>
      <c r="D173" s="18"/>
      <c r="E173" s="18" t="s">
        <v>741</v>
      </c>
      <c r="F173" s="18"/>
      <c r="G173" s="19"/>
      <c r="H173" s="21" t="s">
        <v>685</v>
      </c>
      <c r="I173" s="21" t="s">
        <v>24</v>
      </c>
      <c r="J173" s="11">
        <v>0.0</v>
      </c>
      <c r="K173" s="27" t="s">
        <v>25</v>
      </c>
      <c r="L173" s="22"/>
      <c r="M173" s="21"/>
      <c r="N173" s="21" t="s">
        <v>742</v>
      </c>
      <c r="O173" s="15" t="str">
        <f t="shared" si="1"/>
        <v>Unknown</v>
      </c>
      <c r="P173" s="16" t="str">
        <f t="shared" si="2"/>
        <v>USD</v>
      </c>
      <c r="Q173" s="15">
        <f>IFERROR(__xludf.DUMMYFUNCTION("IFNA(INDEX(GOOGLEFINANCE(""Currency:USD""&amp;$P173,""price"",DATE(YEAR($L173),MONTH($L173),DAY($L173))),2,2),LOOKUP(P173,CurrencyCodes,UnitsPerUSD))"),1.0)</f>
        <v>1</v>
      </c>
      <c r="R173" s="17">
        <f t="shared" si="3"/>
        <v>0</v>
      </c>
    </row>
    <row r="174">
      <c r="A174" s="7">
        <v>43905.4388792824</v>
      </c>
      <c r="B174" s="18" t="s">
        <v>18</v>
      </c>
      <c r="C174" s="19"/>
      <c r="D174" s="18"/>
      <c r="E174" s="18" t="s">
        <v>743</v>
      </c>
      <c r="F174" s="18"/>
      <c r="G174" s="32" t="s">
        <v>707</v>
      </c>
      <c r="H174" s="21" t="s">
        <v>685</v>
      </c>
      <c r="I174" s="21" t="s">
        <v>24</v>
      </c>
      <c r="J174" s="11">
        <v>240000.0</v>
      </c>
      <c r="K174" s="27" t="s">
        <v>25</v>
      </c>
      <c r="L174" s="22"/>
      <c r="M174" s="21"/>
      <c r="N174" s="10" t="s">
        <v>713</v>
      </c>
      <c r="O174" s="15" t="str">
        <f t="shared" si="1"/>
        <v>Unknown</v>
      </c>
      <c r="P174" s="16" t="str">
        <f t="shared" si="2"/>
        <v>USD</v>
      </c>
      <c r="Q174" s="15">
        <f>IFERROR(__xludf.DUMMYFUNCTION("IFNA(INDEX(GOOGLEFINANCE(""Currency:USD""&amp;$P174,""price"",DATE(YEAR($L174),MONTH($L174),DAY($L174))),2,2),LOOKUP(P174,CurrencyCodes,UnitsPerUSD))"),1.0)</f>
        <v>1</v>
      </c>
      <c r="R174" s="17">
        <f t="shared" si="3"/>
        <v>240000</v>
      </c>
    </row>
    <row r="175">
      <c r="A175" s="7">
        <v>43907.876809560184</v>
      </c>
      <c r="B175" s="18" t="s">
        <v>18</v>
      </c>
      <c r="C175" s="19"/>
      <c r="D175" s="18"/>
      <c r="E175" s="18" t="s">
        <v>744</v>
      </c>
      <c r="F175" s="18"/>
      <c r="G175" s="19"/>
      <c r="H175" s="21" t="s">
        <v>685</v>
      </c>
      <c r="I175" s="21" t="s">
        <v>24</v>
      </c>
      <c r="J175" s="11">
        <v>190000.0</v>
      </c>
      <c r="K175" s="27" t="s">
        <v>25</v>
      </c>
      <c r="L175" s="22"/>
      <c r="M175" s="31" t="s">
        <v>735</v>
      </c>
      <c r="N175" s="21"/>
      <c r="O175" s="15" t="str">
        <f t="shared" si="1"/>
        <v>Unknown</v>
      </c>
      <c r="P175" s="16" t="str">
        <f t="shared" si="2"/>
        <v>USD</v>
      </c>
      <c r="Q175" s="15">
        <f>IFERROR(__xludf.DUMMYFUNCTION("IFNA(INDEX(GOOGLEFINANCE(""Currency:USD""&amp;$P175,""price"",DATE(YEAR($L175),MONTH($L175),DAY($L175))),2,2),LOOKUP(P175,CurrencyCodes,UnitsPerUSD))"),1.0)</f>
        <v>1</v>
      </c>
      <c r="R175" s="17">
        <f t="shared" si="3"/>
        <v>190000</v>
      </c>
    </row>
    <row r="176">
      <c r="A176" s="7">
        <v>43905.48235561342</v>
      </c>
      <c r="B176" s="18" t="s">
        <v>18</v>
      </c>
      <c r="C176" s="9"/>
      <c r="D176" s="18"/>
      <c r="E176" s="18" t="s">
        <v>745</v>
      </c>
      <c r="F176" s="18"/>
      <c r="G176" s="32" t="s">
        <v>746</v>
      </c>
      <c r="H176" s="21" t="s">
        <v>685</v>
      </c>
      <c r="I176" s="21" t="s">
        <v>24</v>
      </c>
      <c r="J176" s="11">
        <v>0.0</v>
      </c>
      <c r="K176" s="27" t="s">
        <v>25</v>
      </c>
      <c r="L176" s="22"/>
      <c r="M176" s="10"/>
      <c r="N176" s="10" t="s">
        <v>713</v>
      </c>
      <c r="O176" s="15" t="str">
        <f t="shared" si="1"/>
        <v>Unknown</v>
      </c>
      <c r="P176" s="16" t="str">
        <f t="shared" si="2"/>
        <v>USD</v>
      </c>
      <c r="Q176" s="15">
        <f>IFERROR(__xludf.DUMMYFUNCTION("IFNA(INDEX(GOOGLEFINANCE(""Currency:USD""&amp;$P176,""price"",DATE(YEAR($L176),MONTH($L176),DAY($L176))),2,2),LOOKUP(P176,CurrencyCodes,UnitsPerUSD))"),1.0)</f>
        <v>1</v>
      </c>
      <c r="R176" s="17">
        <f t="shared" si="3"/>
        <v>0</v>
      </c>
    </row>
    <row r="177">
      <c r="A177" s="7">
        <v>43905.48464321759</v>
      </c>
      <c r="B177" s="18" t="s">
        <v>18</v>
      </c>
      <c r="C177" s="19"/>
      <c r="D177" s="18"/>
      <c r="E177" s="18" t="s">
        <v>747</v>
      </c>
      <c r="F177" s="18"/>
      <c r="G177" s="19"/>
      <c r="H177" s="21" t="s">
        <v>685</v>
      </c>
      <c r="I177" s="21" t="s">
        <v>24</v>
      </c>
      <c r="J177" s="11">
        <v>182900.0</v>
      </c>
      <c r="K177" s="27" t="s">
        <v>25</v>
      </c>
      <c r="L177" s="22"/>
      <c r="M177" s="21"/>
      <c r="N177" s="21" t="s">
        <v>175</v>
      </c>
      <c r="O177" s="15" t="str">
        <f t="shared" si="1"/>
        <v>Unknown</v>
      </c>
      <c r="P177" s="16" t="str">
        <f t="shared" si="2"/>
        <v>USD</v>
      </c>
      <c r="Q177" s="15">
        <f>IFERROR(__xludf.DUMMYFUNCTION("IFNA(INDEX(GOOGLEFINANCE(""Currency:USD""&amp;$P177,""price"",DATE(YEAR($L177),MONTH($L177),DAY($L177))),2,2),LOOKUP(P177,CurrencyCodes,UnitsPerUSD))"),1.0)</f>
        <v>1</v>
      </c>
      <c r="R177" s="17">
        <f t="shared" si="3"/>
        <v>182900</v>
      </c>
    </row>
    <row r="178">
      <c r="A178" s="7">
        <v>43905.90498894676</v>
      </c>
      <c r="B178" s="18" t="s">
        <v>18</v>
      </c>
      <c r="C178" s="19"/>
      <c r="D178" s="18"/>
      <c r="E178" s="18" t="s">
        <v>748</v>
      </c>
      <c r="F178" s="18"/>
      <c r="G178" s="19"/>
      <c r="H178" s="21" t="s">
        <v>685</v>
      </c>
      <c r="I178" s="21" t="s">
        <v>24</v>
      </c>
      <c r="J178" s="11">
        <v>235000.0</v>
      </c>
      <c r="K178" s="27" t="s">
        <v>25</v>
      </c>
      <c r="L178" s="22"/>
      <c r="M178" s="24" t="s">
        <v>735</v>
      </c>
      <c r="N178" s="21" t="s">
        <v>718</v>
      </c>
      <c r="O178" s="15" t="str">
        <f t="shared" si="1"/>
        <v>Unknown</v>
      </c>
      <c r="P178" s="16" t="str">
        <f t="shared" si="2"/>
        <v>USD</v>
      </c>
      <c r="Q178" s="15">
        <f>IFERROR(__xludf.DUMMYFUNCTION("IFNA(INDEX(GOOGLEFINANCE(""Currency:USD""&amp;$P178,""price"",DATE(YEAR($L178),MONTH($L178),DAY($L178))),2,2),LOOKUP(P178,CurrencyCodes,UnitsPerUSD))"),1.0)</f>
        <v>1</v>
      </c>
      <c r="R178" s="17">
        <f t="shared" si="3"/>
        <v>235000</v>
      </c>
    </row>
    <row r="179">
      <c r="A179" s="7">
        <v>43905.907038101854</v>
      </c>
      <c r="B179" s="18" t="s">
        <v>18</v>
      </c>
      <c r="C179" s="19"/>
      <c r="D179" s="18"/>
      <c r="E179" s="20" t="s">
        <v>749</v>
      </c>
      <c r="F179" s="18"/>
      <c r="G179" s="32" t="s">
        <v>750</v>
      </c>
      <c r="H179" s="21" t="s">
        <v>685</v>
      </c>
      <c r="I179" s="21" t="s">
        <v>24</v>
      </c>
      <c r="J179" s="11">
        <v>0.0</v>
      </c>
      <c r="K179" s="27" t="s">
        <v>25</v>
      </c>
      <c r="L179" s="22"/>
      <c r="M179" s="21"/>
      <c r="N179" s="21" t="s">
        <v>718</v>
      </c>
      <c r="O179" s="15" t="str">
        <f t="shared" si="1"/>
        <v>Unknown</v>
      </c>
      <c r="P179" s="16" t="str">
        <f t="shared" si="2"/>
        <v>USD</v>
      </c>
      <c r="Q179" s="15">
        <f>IFERROR(__xludf.DUMMYFUNCTION("IFNA(INDEX(GOOGLEFINANCE(""Currency:USD""&amp;$P179,""price"",DATE(YEAR($L179),MONTH($L179),DAY($L179))),2,2),LOOKUP(P179,CurrencyCodes,UnitsPerUSD))"),1.0)</f>
        <v>1</v>
      </c>
      <c r="R179" s="17">
        <f t="shared" si="3"/>
        <v>0</v>
      </c>
    </row>
    <row r="180">
      <c r="A180" s="7">
        <v>43904.56401469908</v>
      </c>
      <c r="B180" s="18" t="s">
        <v>18</v>
      </c>
      <c r="C180" s="9"/>
      <c r="D180" s="8" t="s">
        <v>751</v>
      </c>
      <c r="E180" s="18" t="s">
        <v>752</v>
      </c>
      <c r="F180" s="8"/>
      <c r="G180" s="9"/>
      <c r="H180" s="21" t="s">
        <v>685</v>
      </c>
      <c r="I180" s="21" t="s">
        <v>24</v>
      </c>
      <c r="J180" s="11">
        <v>254900.0</v>
      </c>
      <c r="K180" s="27" t="s">
        <v>25</v>
      </c>
      <c r="L180" s="22"/>
      <c r="M180" s="28" t="s">
        <v>735</v>
      </c>
      <c r="N180" s="21" t="s">
        <v>713</v>
      </c>
      <c r="O180" s="15" t="str">
        <f t="shared" si="1"/>
        <v>Unknown</v>
      </c>
      <c r="P180" s="16" t="str">
        <f t="shared" si="2"/>
        <v>USD</v>
      </c>
      <c r="Q180" s="15">
        <f>IFERROR(__xludf.DUMMYFUNCTION("IFNA(INDEX(GOOGLEFINANCE(""Currency:USD""&amp;$P180,""price"",DATE(YEAR($L180),MONTH($L180),DAY($L180))),2,2),LOOKUP(P180,CurrencyCodes,UnitsPerUSD))"),1.0)</f>
        <v>1</v>
      </c>
      <c r="R180" s="17">
        <f t="shared" si="3"/>
        <v>254900</v>
      </c>
    </row>
    <row r="181">
      <c r="A181" s="7">
        <v>43917.26645924769</v>
      </c>
      <c r="B181" s="8" t="s">
        <v>18</v>
      </c>
      <c r="C181" s="9"/>
      <c r="D181" s="8"/>
      <c r="E181" s="8" t="s">
        <v>753</v>
      </c>
      <c r="F181" s="8"/>
      <c r="G181" s="29" t="s">
        <v>754</v>
      </c>
      <c r="H181" s="10" t="s">
        <v>685</v>
      </c>
      <c r="I181" s="10" t="s">
        <v>24</v>
      </c>
      <c r="J181" s="11">
        <v>319000.0</v>
      </c>
      <c r="K181" s="12" t="s">
        <v>25</v>
      </c>
      <c r="L181" s="22"/>
      <c r="M181" s="10"/>
      <c r="N181" s="10" t="s">
        <v>175</v>
      </c>
      <c r="O181" s="15" t="str">
        <f t="shared" si="1"/>
        <v>Unknown</v>
      </c>
      <c r="P181" s="16" t="str">
        <f t="shared" si="2"/>
        <v>USD</v>
      </c>
      <c r="Q181" s="15">
        <f>IFERROR(__xludf.DUMMYFUNCTION("IFNA(INDEX(GOOGLEFINANCE(""Currency:USD""&amp;$P181,""price"",DATE(YEAR($L181),MONTH($L181),DAY($L181))),2,2),LOOKUP(P181,CurrencyCodes,UnitsPerUSD))"),1.0)</f>
        <v>1</v>
      </c>
      <c r="R181" s="17">
        <f t="shared" si="3"/>
        <v>319000</v>
      </c>
    </row>
    <row r="182">
      <c r="A182" s="7">
        <v>43909.92758945602</v>
      </c>
      <c r="B182" s="8" t="s">
        <v>18</v>
      </c>
      <c r="C182" s="9"/>
      <c r="D182" s="8"/>
      <c r="E182" s="8" t="s">
        <v>755</v>
      </c>
      <c r="F182" s="8"/>
      <c r="G182" s="9"/>
      <c r="H182" s="10" t="s">
        <v>685</v>
      </c>
      <c r="I182" s="10" t="s">
        <v>24</v>
      </c>
      <c r="J182" s="11">
        <v>169900.0</v>
      </c>
      <c r="K182" s="12" t="s">
        <v>25</v>
      </c>
      <c r="L182" s="22"/>
      <c r="M182" s="10"/>
      <c r="N182" s="10" t="s">
        <v>175</v>
      </c>
      <c r="O182" s="15" t="str">
        <f t="shared" si="1"/>
        <v>Unknown</v>
      </c>
      <c r="P182" s="16" t="str">
        <f t="shared" si="2"/>
        <v>USD</v>
      </c>
      <c r="Q182" s="15">
        <f>IFERROR(__xludf.DUMMYFUNCTION("IFNA(INDEX(GOOGLEFINANCE(""Currency:USD""&amp;$P182,""price"",DATE(YEAR($L182),MONTH($L182),DAY($L182))),2,2),LOOKUP(P182,CurrencyCodes,UnitsPerUSD))"),1.0)</f>
        <v>1</v>
      </c>
      <c r="R182" s="17">
        <f t="shared" si="3"/>
        <v>169900</v>
      </c>
    </row>
    <row r="183">
      <c r="A183" s="7">
        <v>43912.502818587964</v>
      </c>
      <c r="B183" s="18" t="s">
        <v>18</v>
      </c>
      <c r="C183" s="19"/>
      <c r="D183" s="18"/>
      <c r="E183" s="18" t="s">
        <v>756</v>
      </c>
      <c r="F183" s="8"/>
      <c r="G183" s="19"/>
      <c r="H183" s="21" t="s">
        <v>685</v>
      </c>
      <c r="I183" s="21" t="s">
        <v>24</v>
      </c>
      <c r="J183" s="11">
        <v>0.0</v>
      </c>
      <c r="K183" s="21" t="s">
        <v>25</v>
      </c>
      <c r="L183" s="25">
        <v>43033.0</v>
      </c>
      <c r="M183" s="21"/>
      <c r="N183" s="21" t="s">
        <v>175</v>
      </c>
      <c r="O183" s="15">
        <f t="shared" si="1"/>
        <v>2017</v>
      </c>
      <c r="P183" s="16" t="str">
        <f t="shared" si="2"/>
        <v>USD</v>
      </c>
      <c r="Q183" s="15">
        <f>IFERROR(__xludf.DUMMYFUNCTION("IFNA(INDEX(GOOGLEFINANCE(""Currency:USD""&amp;$P183,""price"",DATE(YEAR($L183),MONTH($L183),DAY($L183))),2,2),LOOKUP(P183,CurrencyCodes,UnitsPerUSD))"),1.0)</f>
        <v>1</v>
      </c>
      <c r="R183" s="17">
        <f t="shared" si="3"/>
        <v>0</v>
      </c>
    </row>
    <row r="184">
      <c r="A184" s="7">
        <v>43912.5091696875</v>
      </c>
      <c r="B184" s="18" t="s">
        <v>18</v>
      </c>
      <c r="C184" s="19"/>
      <c r="D184" s="18"/>
      <c r="E184" s="18" t="s">
        <v>757</v>
      </c>
      <c r="F184" s="18"/>
      <c r="G184" s="32" t="s">
        <v>758</v>
      </c>
      <c r="H184" s="21" t="s">
        <v>685</v>
      </c>
      <c r="I184" s="21" t="s">
        <v>24</v>
      </c>
      <c r="J184" s="11">
        <v>0.0</v>
      </c>
      <c r="K184" s="21" t="s">
        <v>25</v>
      </c>
      <c r="L184" s="25">
        <v>43763.0</v>
      </c>
      <c r="M184" s="21"/>
      <c r="N184" s="21" t="s">
        <v>759</v>
      </c>
      <c r="O184" s="15">
        <f t="shared" si="1"/>
        <v>2019</v>
      </c>
      <c r="P184" s="16" t="str">
        <f t="shared" si="2"/>
        <v>USD</v>
      </c>
      <c r="Q184" s="15">
        <f>IFERROR(__xludf.DUMMYFUNCTION("IFNA(INDEX(GOOGLEFINANCE(""Currency:USD""&amp;$P184,""price"",DATE(YEAR($L184),MONTH($L184),DAY($L184))),2,2),LOOKUP(P184,CurrencyCodes,UnitsPerUSD))"),1.0)</f>
        <v>1</v>
      </c>
      <c r="R184" s="17">
        <f t="shared" si="3"/>
        <v>0</v>
      </c>
    </row>
    <row r="185">
      <c r="A185" s="7">
        <v>43913.81987422454</v>
      </c>
      <c r="B185" s="18" t="s">
        <v>18</v>
      </c>
      <c r="C185" s="19"/>
      <c r="D185" s="18"/>
      <c r="E185" s="18" t="s">
        <v>760</v>
      </c>
      <c r="F185" s="18"/>
      <c r="G185" s="32" t="s">
        <v>761</v>
      </c>
      <c r="H185" s="21" t="s">
        <v>685</v>
      </c>
      <c r="I185" s="21" t="s">
        <v>24</v>
      </c>
      <c r="J185" s="11">
        <v>0.0</v>
      </c>
      <c r="K185" s="21" t="s">
        <v>25</v>
      </c>
      <c r="L185" s="25">
        <v>43763.0</v>
      </c>
      <c r="M185" s="21"/>
      <c r="N185" s="12" t="s">
        <v>762</v>
      </c>
      <c r="O185" s="15">
        <f t="shared" si="1"/>
        <v>2019</v>
      </c>
      <c r="P185" s="16" t="str">
        <f t="shared" si="2"/>
        <v>USD</v>
      </c>
      <c r="Q185" s="15">
        <f>IFERROR(__xludf.DUMMYFUNCTION("IFNA(INDEX(GOOGLEFINANCE(""Currency:USD""&amp;$P185,""price"",DATE(YEAR($L185),MONTH($L185),DAY($L185))),2,2),LOOKUP(P185,CurrencyCodes,UnitsPerUSD))"),1.0)</f>
        <v>1</v>
      </c>
      <c r="R185" s="17">
        <f t="shared" si="3"/>
        <v>0</v>
      </c>
    </row>
    <row r="186">
      <c r="A186" s="7">
        <v>43921.76483290509</v>
      </c>
      <c r="B186" s="8" t="s">
        <v>18</v>
      </c>
      <c r="C186" s="9"/>
      <c r="D186" s="8" t="s">
        <v>763</v>
      </c>
      <c r="E186" s="8" t="s">
        <v>764</v>
      </c>
      <c r="F186" s="8"/>
      <c r="G186" s="9"/>
      <c r="H186" s="10" t="s">
        <v>685</v>
      </c>
      <c r="I186" s="10" t="s">
        <v>24</v>
      </c>
      <c r="J186" s="11">
        <v>394900.0</v>
      </c>
      <c r="K186" s="12" t="s">
        <v>25</v>
      </c>
      <c r="L186" s="22"/>
      <c r="M186" s="14" t="s">
        <v>765</v>
      </c>
      <c r="N186" s="10"/>
      <c r="O186" s="15" t="str">
        <f t="shared" si="1"/>
        <v>Unknown</v>
      </c>
      <c r="P186" s="16" t="str">
        <f t="shared" si="2"/>
        <v>USD</v>
      </c>
      <c r="Q186" s="15">
        <f>IFERROR(__xludf.DUMMYFUNCTION("IFNA(INDEX(GOOGLEFINANCE(""Currency:USD""&amp;$P186,""price"",DATE(YEAR($L186),MONTH($L186),DAY($L186))),2,2),LOOKUP(P186,CurrencyCodes,UnitsPerUSD))"),1.0)</f>
        <v>1</v>
      </c>
      <c r="R186" s="17">
        <f t="shared" si="3"/>
        <v>394900</v>
      </c>
    </row>
    <row r="187">
      <c r="A187" s="7">
        <v>43916.88117403935</v>
      </c>
      <c r="B187" s="18" t="s">
        <v>18</v>
      </c>
      <c r="C187" s="19"/>
      <c r="D187" s="18"/>
      <c r="E187" s="18" t="s">
        <v>766</v>
      </c>
      <c r="F187" s="18"/>
      <c r="G187" s="32" t="s">
        <v>767</v>
      </c>
      <c r="H187" s="21" t="s">
        <v>685</v>
      </c>
      <c r="I187" s="21" t="s">
        <v>24</v>
      </c>
      <c r="J187" s="11">
        <v>0.0</v>
      </c>
      <c r="K187" s="27" t="s">
        <v>25</v>
      </c>
      <c r="L187" s="22"/>
      <c r="M187" s="21"/>
      <c r="N187" s="12" t="s">
        <v>762</v>
      </c>
      <c r="O187" s="15" t="str">
        <f t="shared" si="1"/>
        <v>Unknown</v>
      </c>
      <c r="P187" s="16" t="str">
        <f t="shared" si="2"/>
        <v>USD</v>
      </c>
      <c r="Q187" s="15">
        <f>IFERROR(__xludf.DUMMYFUNCTION("IFNA(INDEX(GOOGLEFINANCE(""Currency:USD""&amp;$P187,""price"",DATE(YEAR($L187),MONTH($L187),DAY($L187))),2,2),LOOKUP(P187,CurrencyCodes,UnitsPerUSD))"),1.0)</f>
        <v>1</v>
      </c>
      <c r="R187" s="17">
        <f t="shared" si="3"/>
        <v>0</v>
      </c>
    </row>
    <row r="188">
      <c r="A188" s="7">
        <v>43917.2970803125</v>
      </c>
      <c r="B188" s="18" t="s">
        <v>18</v>
      </c>
      <c r="C188" s="9"/>
      <c r="D188" s="8"/>
      <c r="E188" s="18" t="s">
        <v>768</v>
      </c>
      <c r="F188" s="8"/>
      <c r="G188" s="29" t="s">
        <v>769</v>
      </c>
      <c r="H188" s="21" t="s">
        <v>685</v>
      </c>
      <c r="I188" s="21" t="s">
        <v>24</v>
      </c>
      <c r="J188" s="11">
        <v>0.0</v>
      </c>
      <c r="K188" s="21" t="s">
        <v>25</v>
      </c>
      <c r="L188" s="25">
        <v>43763.0</v>
      </c>
      <c r="M188" s="10"/>
      <c r="N188" s="27" t="s">
        <v>770</v>
      </c>
      <c r="O188" s="15">
        <f t="shared" si="1"/>
        <v>2019</v>
      </c>
      <c r="P188" s="16" t="str">
        <f t="shared" si="2"/>
        <v>USD</v>
      </c>
      <c r="Q188" s="15">
        <f>IFERROR(__xludf.DUMMYFUNCTION("IFNA(INDEX(GOOGLEFINANCE(""Currency:USD""&amp;$P188,""price"",DATE(YEAR($L188),MONTH($L188),DAY($L188))),2,2),LOOKUP(P188,CurrencyCodes,UnitsPerUSD))"),1.0)</f>
        <v>1</v>
      </c>
      <c r="R188" s="17">
        <f t="shared" si="3"/>
        <v>0</v>
      </c>
    </row>
    <row r="189">
      <c r="A189" s="7">
        <v>43918.93998372685</v>
      </c>
      <c r="B189" s="18" t="s">
        <v>18</v>
      </c>
      <c r="C189" s="19"/>
      <c r="D189" s="18"/>
      <c r="E189" s="18" t="s">
        <v>771</v>
      </c>
      <c r="F189" s="18"/>
      <c r="G189" s="19"/>
      <c r="H189" s="21" t="s">
        <v>685</v>
      </c>
      <c r="I189" s="21" t="s">
        <v>24</v>
      </c>
      <c r="J189" s="11">
        <v>339000.0</v>
      </c>
      <c r="K189" s="27" t="s">
        <v>25</v>
      </c>
      <c r="L189" s="22"/>
      <c r="M189" s="21"/>
      <c r="N189" s="10" t="s">
        <v>175</v>
      </c>
      <c r="O189" s="15" t="str">
        <f t="shared" si="1"/>
        <v>Unknown</v>
      </c>
      <c r="P189" s="16" t="str">
        <f t="shared" si="2"/>
        <v>USD</v>
      </c>
      <c r="Q189" s="15">
        <f>IFERROR(__xludf.DUMMYFUNCTION("IFNA(INDEX(GOOGLEFINANCE(""Currency:USD""&amp;$P189,""price"",DATE(YEAR($L189),MONTH($L189),DAY($L189))),2,2),LOOKUP(P189,CurrencyCodes,UnitsPerUSD))"),1.0)</f>
        <v>1</v>
      </c>
      <c r="R189" s="17">
        <f t="shared" si="3"/>
        <v>339000</v>
      </c>
    </row>
    <row r="190">
      <c r="A190" s="7">
        <v>43906.863878206015</v>
      </c>
      <c r="B190" s="18" t="s">
        <v>18</v>
      </c>
      <c r="C190" s="19"/>
      <c r="D190" s="18" t="s">
        <v>772</v>
      </c>
      <c r="E190" s="20" t="s">
        <v>773</v>
      </c>
      <c r="F190" s="18"/>
      <c r="G190" s="19"/>
      <c r="H190" s="21" t="s">
        <v>685</v>
      </c>
      <c r="I190" s="21" t="s">
        <v>24</v>
      </c>
      <c r="J190" s="11">
        <v>79900.0</v>
      </c>
      <c r="K190" s="27" t="s">
        <v>25</v>
      </c>
      <c r="L190" s="22"/>
      <c r="M190" s="28" t="s">
        <v>735</v>
      </c>
      <c r="N190" s="21" t="s">
        <v>175</v>
      </c>
      <c r="O190" s="15" t="str">
        <f t="shared" si="1"/>
        <v>Unknown</v>
      </c>
      <c r="P190" s="16" t="str">
        <f t="shared" si="2"/>
        <v>USD</v>
      </c>
      <c r="Q190" s="15">
        <f>IFERROR(__xludf.DUMMYFUNCTION("IFNA(INDEX(GOOGLEFINANCE(""Currency:USD""&amp;$P190,""price"",DATE(YEAR($L190),MONTH($L190),DAY($L190))),2,2),LOOKUP(P190,CurrencyCodes,UnitsPerUSD))"),1.0)</f>
        <v>1</v>
      </c>
      <c r="R190" s="17">
        <f t="shared" si="3"/>
        <v>79900</v>
      </c>
    </row>
    <row r="191">
      <c r="A191" s="7">
        <v>43917.29911659722</v>
      </c>
      <c r="B191" s="18" t="s">
        <v>18</v>
      </c>
      <c r="C191" s="19"/>
      <c r="D191" s="18"/>
      <c r="E191" s="18" t="s">
        <v>774</v>
      </c>
      <c r="F191" s="18"/>
      <c r="G191" s="9"/>
      <c r="H191" s="21" t="s">
        <v>685</v>
      </c>
      <c r="I191" s="21" t="s">
        <v>24</v>
      </c>
      <c r="J191" s="11">
        <v>0.0</v>
      </c>
      <c r="K191" s="21" t="s">
        <v>25</v>
      </c>
      <c r="L191" s="25">
        <v>43763.0</v>
      </c>
      <c r="M191" s="10"/>
      <c r="N191" s="12" t="s">
        <v>770</v>
      </c>
      <c r="O191" s="15">
        <f t="shared" si="1"/>
        <v>2019</v>
      </c>
      <c r="P191" s="16" t="str">
        <f t="shared" si="2"/>
        <v>USD</v>
      </c>
      <c r="Q191" s="15">
        <f>IFERROR(__xludf.DUMMYFUNCTION("IFNA(INDEX(GOOGLEFINANCE(""Currency:USD""&amp;$P191,""price"",DATE(YEAR($L191),MONTH($L191),DAY($L191))),2,2),LOOKUP(P191,CurrencyCodes,UnitsPerUSD))"),1.0)</f>
        <v>1</v>
      </c>
      <c r="R191" s="17">
        <f t="shared" si="3"/>
        <v>0</v>
      </c>
    </row>
    <row r="192">
      <c r="A192" s="7">
        <v>43918.943577569444</v>
      </c>
      <c r="B192" s="18" t="s">
        <v>18</v>
      </c>
      <c r="C192" s="9"/>
      <c r="D192" s="18"/>
      <c r="E192" s="18" t="s">
        <v>775</v>
      </c>
      <c r="F192" s="8"/>
      <c r="G192" s="19"/>
      <c r="H192" s="21" t="s">
        <v>685</v>
      </c>
      <c r="I192" s="21" t="s">
        <v>24</v>
      </c>
      <c r="J192" s="11">
        <v>0.0</v>
      </c>
      <c r="K192" s="27" t="s">
        <v>25</v>
      </c>
      <c r="L192" s="22"/>
      <c r="M192" s="21"/>
      <c r="N192" s="21" t="s">
        <v>175</v>
      </c>
      <c r="O192" s="15" t="str">
        <f t="shared" si="1"/>
        <v>Unknown</v>
      </c>
      <c r="P192" s="16" t="str">
        <f t="shared" si="2"/>
        <v>USD</v>
      </c>
      <c r="Q192" s="15">
        <f>IFERROR(__xludf.DUMMYFUNCTION("IFNA(INDEX(GOOGLEFINANCE(""Currency:USD""&amp;$P192,""price"",DATE(YEAR($L192),MONTH($L192),DAY($L192))),2,2),LOOKUP(P192,CurrencyCodes,UnitsPerUSD))"),1.0)</f>
        <v>1</v>
      </c>
      <c r="R192" s="17">
        <f t="shared" si="3"/>
        <v>0</v>
      </c>
    </row>
    <row r="193">
      <c r="A193" s="7">
        <v>43917.30104115741</v>
      </c>
      <c r="B193" s="18" t="s">
        <v>18</v>
      </c>
      <c r="C193" s="9"/>
      <c r="D193" s="18"/>
      <c r="E193" s="18" t="s">
        <v>776</v>
      </c>
      <c r="F193" s="8"/>
      <c r="G193" s="32" t="s">
        <v>777</v>
      </c>
      <c r="H193" s="21" t="s">
        <v>685</v>
      </c>
      <c r="I193" s="21" t="s">
        <v>24</v>
      </c>
      <c r="J193" s="11">
        <v>0.0</v>
      </c>
      <c r="K193" s="27" t="s">
        <v>25</v>
      </c>
      <c r="L193" s="22"/>
      <c r="M193" s="21"/>
      <c r="N193" s="27" t="s">
        <v>778</v>
      </c>
      <c r="O193" s="15" t="str">
        <f t="shared" si="1"/>
        <v>Unknown</v>
      </c>
      <c r="P193" s="16" t="str">
        <f t="shared" si="2"/>
        <v>USD</v>
      </c>
      <c r="Q193" s="15">
        <f>IFERROR(__xludf.DUMMYFUNCTION("IFNA(INDEX(GOOGLEFINANCE(""Currency:USD""&amp;$P193,""price"",DATE(YEAR($L193),MONTH($L193),DAY($L193))),2,2),LOOKUP(P193,CurrencyCodes,UnitsPerUSD))"),1.0)</f>
        <v>1</v>
      </c>
      <c r="R193" s="17">
        <f t="shared" si="3"/>
        <v>0</v>
      </c>
    </row>
    <row r="194">
      <c r="A194" s="7">
        <v>43918.941391608794</v>
      </c>
      <c r="B194" s="18" t="s">
        <v>18</v>
      </c>
      <c r="C194" s="9"/>
      <c r="D194" s="18"/>
      <c r="E194" s="18" t="s">
        <v>779</v>
      </c>
      <c r="F194" s="18"/>
      <c r="G194" s="19"/>
      <c r="H194" s="21" t="s">
        <v>685</v>
      </c>
      <c r="I194" s="21" t="s">
        <v>24</v>
      </c>
      <c r="J194" s="11">
        <v>0.0</v>
      </c>
      <c r="K194" s="27" t="s">
        <v>25</v>
      </c>
      <c r="L194" s="22"/>
      <c r="M194" s="21"/>
      <c r="N194" s="27" t="s">
        <v>762</v>
      </c>
      <c r="O194" s="15" t="str">
        <f t="shared" si="1"/>
        <v>Unknown</v>
      </c>
      <c r="P194" s="16" t="str">
        <f t="shared" si="2"/>
        <v>USD</v>
      </c>
      <c r="Q194" s="15">
        <f>IFERROR(__xludf.DUMMYFUNCTION("IFNA(INDEX(GOOGLEFINANCE(""Currency:USD""&amp;$P194,""price"",DATE(YEAR($L194),MONTH($L194),DAY($L194))),2,2),LOOKUP(P194,CurrencyCodes,UnitsPerUSD))"),1.0)</f>
        <v>1</v>
      </c>
      <c r="R194" s="17">
        <f t="shared" si="3"/>
        <v>0</v>
      </c>
    </row>
    <row r="195">
      <c r="A195" s="7">
        <v>43904.60137607639</v>
      </c>
      <c r="B195" s="8" t="s">
        <v>18</v>
      </c>
      <c r="C195" s="9"/>
      <c r="D195" s="8" t="s">
        <v>780</v>
      </c>
      <c r="E195" s="8" t="s">
        <v>781</v>
      </c>
      <c r="F195" s="8"/>
      <c r="G195" s="29" t="s">
        <v>690</v>
      </c>
      <c r="H195" s="10" t="s">
        <v>685</v>
      </c>
      <c r="I195" s="10" t="s">
        <v>24</v>
      </c>
      <c r="J195" s="11">
        <v>595000.0</v>
      </c>
      <c r="K195" s="12" t="s">
        <v>25</v>
      </c>
      <c r="L195" s="22"/>
      <c r="M195" s="28" t="s">
        <v>782</v>
      </c>
      <c r="N195" s="12" t="s">
        <v>783</v>
      </c>
      <c r="O195" s="15" t="str">
        <f t="shared" si="1"/>
        <v>Unknown</v>
      </c>
      <c r="P195" s="16" t="str">
        <f t="shared" si="2"/>
        <v>USD</v>
      </c>
      <c r="Q195" s="15">
        <f>IFERROR(__xludf.DUMMYFUNCTION("IFNA(INDEX(GOOGLEFINANCE(""Currency:USD""&amp;$P195,""price"",DATE(YEAR($L195),MONTH($L195),DAY($L195))),2,2),LOOKUP(P195,CurrencyCodes,UnitsPerUSD))"),1.0)</f>
        <v>1</v>
      </c>
      <c r="R195" s="17">
        <f t="shared" si="3"/>
        <v>595000</v>
      </c>
    </row>
    <row r="196">
      <c r="A196" s="7">
        <v>43904.6075969213</v>
      </c>
      <c r="B196" s="8" t="s">
        <v>18</v>
      </c>
      <c r="C196" s="9"/>
      <c r="D196" s="8" t="s">
        <v>784</v>
      </c>
      <c r="E196" s="8" t="s">
        <v>785</v>
      </c>
      <c r="F196" s="8"/>
      <c r="G196" s="29" t="s">
        <v>786</v>
      </c>
      <c r="H196" s="10" t="s">
        <v>685</v>
      </c>
      <c r="I196" s="10" t="s">
        <v>24</v>
      </c>
      <c r="J196" s="11">
        <v>394900.0</v>
      </c>
      <c r="K196" s="12" t="s">
        <v>25</v>
      </c>
      <c r="L196" s="22"/>
      <c r="M196" s="28" t="s">
        <v>787</v>
      </c>
      <c r="N196" s="12" t="s">
        <v>788</v>
      </c>
      <c r="O196" s="15" t="str">
        <f t="shared" si="1"/>
        <v>Unknown</v>
      </c>
      <c r="P196" s="16" t="str">
        <f t="shared" si="2"/>
        <v>USD</v>
      </c>
      <c r="Q196" s="15">
        <f>IFERROR(__xludf.DUMMYFUNCTION("IFNA(INDEX(GOOGLEFINANCE(""Currency:USD""&amp;$P196,""price"",DATE(YEAR($L196),MONTH($L196),DAY($L196))),2,2),LOOKUP(P196,CurrencyCodes,UnitsPerUSD))"),1.0)</f>
        <v>1</v>
      </c>
      <c r="R196" s="17">
        <f t="shared" si="3"/>
        <v>394900</v>
      </c>
    </row>
    <row r="197">
      <c r="A197" s="7">
        <v>43915.70459091435</v>
      </c>
      <c r="B197" s="18" t="s">
        <v>18</v>
      </c>
      <c r="C197" s="34"/>
      <c r="D197" s="18"/>
      <c r="E197" s="18" t="s">
        <v>789</v>
      </c>
      <c r="F197" s="18"/>
      <c r="G197" s="9"/>
      <c r="H197" s="21" t="s">
        <v>685</v>
      </c>
      <c r="I197" s="21" t="s">
        <v>39</v>
      </c>
      <c r="J197" s="11">
        <v>359000.0</v>
      </c>
      <c r="K197" s="27" t="s">
        <v>25</v>
      </c>
      <c r="L197" s="22"/>
      <c r="M197" s="24" t="s">
        <v>790</v>
      </c>
      <c r="N197" s="27" t="s">
        <v>791</v>
      </c>
      <c r="O197" s="15" t="str">
        <f t="shared" si="1"/>
        <v>Unknown</v>
      </c>
      <c r="P197" s="16" t="str">
        <f t="shared" si="2"/>
        <v>USD</v>
      </c>
      <c r="Q197" s="15">
        <f>IFERROR(__xludf.DUMMYFUNCTION("IFNA(INDEX(GOOGLEFINANCE(""Currency:USD""&amp;$P197,""price"",DATE(YEAR($L197),MONTH($L197),DAY($L197))),2,2),LOOKUP(P197,CurrencyCodes,UnitsPerUSD))"),1.0)</f>
        <v>1</v>
      </c>
      <c r="R197" s="17">
        <f t="shared" si="3"/>
        <v>359000</v>
      </c>
    </row>
    <row r="198">
      <c r="A198" s="7">
        <v>43904.77503980324</v>
      </c>
      <c r="B198" s="18" t="s">
        <v>18</v>
      </c>
      <c r="C198" s="34"/>
      <c r="D198" s="18"/>
      <c r="E198" s="20" t="s">
        <v>792</v>
      </c>
      <c r="F198" s="18"/>
      <c r="G198" s="9"/>
      <c r="H198" s="21" t="s">
        <v>685</v>
      </c>
      <c r="I198" s="21" t="s">
        <v>24</v>
      </c>
      <c r="J198" s="11">
        <v>155000.0</v>
      </c>
      <c r="K198" s="27" t="s">
        <v>25</v>
      </c>
      <c r="L198" s="22"/>
      <c r="M198" s="21"/>
      <c r="N198" s="21"/>
      <c r="O198" s="15" t="str">
        <f t="shared" si="1"/>
        <v>Unknown</v>
      </c>
      <c r="P198" s="16" t="str">
        <f t="shared" si="2"/>
        <v>USD</v>
      </c>
      <c r="Q198" s="15">
        <f>IFERROR(__xludf.DUMMYFUNCTION("IFNA(INDEX(GOOGLEFINANCE(""Currency:USD""&amp;$P198,""price"",DATE(YEAR($L198),MONTH($L198),DAY($L198))),2,2),LOOKUP(P198,CurrencyCodes,UnitsPerUSD))"),1.0)</f>
        <v>1</v>
      </c>
      <c r="R198" s="17">
        <f t="shared" si="3"/>
        <v>155000</v>
      </c>
    </row>
    <row r="199">
      <c r="A199" s="7">
        <v>43904.57361944445</v>
      </c>
      <c r="B199" s="18" t="s">
        <v>18</v>
      </c>
      <c r="C199" s="19"/>
      <c r="D199" s="18"/>
      <c r="E199" s="18" t="s">
        <v>793</v>
      </c>
      <c r="F199" s="18"/>
      <c r="G199" s="29" t="s">
        <v>794</v>
      </c>
      <c r="H199" s="21" t="s">
        <v>685</v>
      </c>
      <c r="I199" s="21" t="s">
        <v>24</v>
      </c>
      <c r="J199" s="11">
        <v>0.0</v>
      </c>
      <c r="K199" s="27" t="s">
        <v>25</v>
      </c>
      <c r="L199" s="22"/>
      <c r="M199" s="21"/>
      <c r="N199" s="21"/>
      <c r="O199" s="15" t="str">
        <f t="shared" si="1"/>
        <v>Unknown</v>
      </c>
      <c r="P199" s="16" t="str">
        <f t="shared" si="2"/>
        <v>USD</v>
      </c>
      <c r="Q199" s="15">
        <f>IFERROR(__xludf.DUMMYFUNCTION("IFNA(INDEX(GOOGLEFINANCE(""Currency:USD""&amp;$P199,""price"",DATE(YEAR($L199),MONTH($L199),DAY($L199))),2,2),LOOKUP(P199,CurrencyCodes,UnitsPerUSD))"),1.0)</f>
        <v>1</v>
      </c>
      <c r="R199" s="17">
        <f t="shared" si="3"/>
        <v>0</v>
      </c>
    </row>
    <row r="200">
      <c r="A200" s="7">
        <v>43898.560276296295</v>
      </c>
      <c r="B200" s="18" t="s">
        <v>18</v>
      </c>
      <c r="C200" s="19"/>
      <c r="D200" s="18"/>
      <c r="E200" s="18"/>
      <c r="F200" s="18"/>
      <c r="G200" s="9"/>
      <c r="H200" s="21" t="s">
        <v>685</v>
      </c>
      <c r="I200" s="21" t="s">
        <v>24</v>
      </c>
      <c r="J200" s="11">
        <v>200000.0</v>
      </c>
      <c r="K200" s="27" t="s">
        <v>25</v>
      </c>
      <c r="L200" s="22"/>
      <c r="M200" s="21"/>
      <c r="N200" s="21" t="s">
        <v>795</v>
      </c>
      <c r="O200" s="15" t="str">
        <f t="shared" si="1"/>
        <v>Unknown</v>
      </c>
      <c r="P200" s="16" t="str">
        <f t="shared" si="2"/>
        <v>USD</v>
      </c>
      <c r="Q200" s="15">
        <f>IFERROR(__xludf.DUMMYFUNCTION("IFNA(INDEX(GOOGLEFINANCE(""Currency:USD""&amp;$P200,""price"",DATE(YEAR($L200),MONTH($L200),DAY($L200))),2,2),LOOKUP(P200,CurrencyCodes,UnitsPerUSD))"),1.0)</f>
        <v>1</v>
      </c>
      <c r="R200" s="17">
        <f t="shared" si="3"/>
        <v>200000</v>
      </c>
    </row>
    <row r="201">
      <c r="A201" s="7">
        <v>43897.52126876157</v>
      </c>
      <c r="B201" s="18" t="s">
        <v>18</v>
      </c>
      <c r="C201" s="19">
        <v>634.0</v>
      </c>
      <c r="D201" s="18" t="s">
        <v>796</v>
      </c>
      <c r="E201" s="18" t="s">
        <v>797</v>
      </c>
      <c r="F201" s="18"/>
      <c r="G201" s="19">
        <v>7780.0</v>
      </c>
      <c r="H201" s="21" t="s">
        <v>798</v>
      </c>
      <c r="I201" s="21" t="s">
        <v>39</v>
      </c>
      <c r="J201" s="11">
        <v>1200000.0</v>
      </c>
      <c r="K201" s="21" t="s">
        <v>799</v>
      </c>
      <c r="L201" s="25">
        <v>42370.0</v>
      </c>
      <c r="M201" s="31" t="s">
        <v>800</v>
      </c>
      <c r="N201" s="21"/>
      <c r="O201" s="15">
        <f t="shared" si="1"/>
        <v>2016</v>
      </c>
      <c r="P201" s="16" t="str">
        <f t="shared" si="2"/>
        <v>ZAR</v>
      </c>
      <c r="Q201" s="15">
        <f>IFERROR(__xludf.DUMMYFUNCTION("IFNA(INDEX(GOOGLEFINANCE(""Currency:USD""&amp;$P201,""price"",DATE(YEAR($L201),MONTH($L201),DAY($L201))),2,2),LOOKUP(P201,CurrencyCodes,UnitsPerUSD))"),15.46)</f>
        <v>15.46</v>
      </c>
      <c r="R201" s="17">
        <f t="shared" si="3"/>
        <v>77619.66365</v>
      </c>
    </row>
    <row r="202">
      <c r="A202" s="7">
        <v>43932.9375771412</v>
      </c>
      <c r="B202" s="18" t="s">
        <v>189</v>
      </c>
      <c r="C202" s="9">
        <v>18.0</v>
      </c>
      <c r="D202" s="8" t="s">
        <v>801</v>
      </c>
      <c r="E202" s="18" t="s">
        <v>802</v>
      </c>
      <c r="F202" s="8" t="s">
        <v>803</v>
      </c>
      <c r="G202" s="32" t="s">
        <v>804</v>
      </c>
      <c r="H202" s="21" t="s">
        <v>805</v>
      </c>
      <c r="I202" s="21" t="s">
        <v>39</v>
      </c>
      <c r="J202" s="11">
        <v>4000000.0</v>
      </c>
      <c r="K202" s="21" t="s">
        <v>174</v>
      </c>
      <c r="L202" s="25">
        <v>40961.0</v>
      </c>
      <c r="M202" s="28" t="s">
        <v>806</v>
      </c>
      <c r="N202" s="21" t="s">
        <v>807</v>
      </c>
      <c r="O202" s="15">
        <f t="shared" si="1"/>
        <v>2012</v>
      </c>
      <c r="P202" s="16" t="str">
        <f t="shared" si="2"/>
        <v>EUR</v>
      </c>
      <c r="Q202" s="15">
        <f>IFERROR(__xludf.DUMMYFUNCTION("IFNA(INDEX(GOOGLEFINANCE(""Currency:USD""&amp;$P202,""price"",DATE(YEAR($L202),MONTH($L202),DAY($L202))),2,2),LOOKUP(P202,CurrencyCodes,UnitsPerUSD))"),0.7547)</f>
        <v>0.7547</v>
      </c>
      <c r="R202" s="17">
        <f t="shared" si="3"/>
        <v>5300119.253</v>
      </c>
    </row>
    <row r="203">
      <c r="A203" s="7">
        <v>43901.99458114583</v>
      </c>
      <c r="B203" s="18" t="s">
        <v>18</v>
      </c>
      <c r="C203" s="19"/>
      <c r="D203" s="18" t="s">
        <v>808</v>
      </c>
      <c r="E203" s="18" t="s">
        <v>802</v>
      </c>
      <c r="F203" s="18"/>
      <c r="G203" s="19"/>
      <c r="H203" s="21" t="s">
        <v>805</v>
      </c>
      <c r="I203" s="21" t="s">
        <v>39</v>
      </c>
      <c r="J203" s="11">
        <v>0.0</v>
      </c>
      <c r="K203" s="21" t="s">
        <v>174</v>
      </c>
      <c r="L203" s="25">
        <v>42636.0</v>
      </c>
      <c r="M203" s="31" t="s">
        <v>809</v>
      </c>
      <c r="N203" s="10"/>
      <c r="O203" s="15">
        <f t="shared" si="1"/>
        <v>2016</v>
      </c>
      <c r="P203" s="16" t="str">
        <f t="shared" si="2"/>
        <v>EUR</v>
      </c>
      <c r="Q203" s="15">
        <f>IFERROR(__xludf.DUMMYFUNCTION("IFNA(INDEX(GOOGLEFINANCE(""Currency:USD""&amp;$P203,""price"",DATE(YEAR($L203),MONTH($L203),DAY($L203))),2,2),LOOKUP(P203,CurrencyCodes,UnitsPerUSD))"),0.89069)</f>
        <v>0.89069</v>
      </c>
      <c r="R203" s="17">
        <f t="shared" si="3"/>
        <v>0</v>
      </c>
    </row>
    <row r="204">
      <c r="A204" s="7">
        <v>43901.95967295139</v>
      </c>
      <c r="B204" s="18" t="s">
        <v>18</v>
      </c>
      <c r="C204" s="19"/>
      <c r="D204" s="18"/>
      <c r="E204" s="18" t="s">
        <v>810</v>
      </c>
      <c r="F204" s="18" t="s">
        <v>811</v>
      </c>
      <c r="G204" s="19"/>
      <c r="H204" s="21" t="s">
        <v>812</v>
      </c>
      <c r="I204" s="21" t="s">
        <v>39</v>
      </c>
      <c r="J204" s="11">
        <v>2.0E7</v>
      </c>
      <c r="K204" s="21" t="s">
        <v>813</v>
      </c>
      <c r="L204" s="25">
        <v>43556.0</v>
      </c>
      <c r="M204" s="31" t="s">
        <v>814</v>
      </c>
      <c r="N204" s="21"/>
      <c r="O204" s="15">
        <f t="shared" si="1"/>
        <v>2019</v>
      </c>
      <c r="P204" s="16" t="str">
        <f t="shared" si="2"/>
        <v>SEK</v>
      </c>
      <c r="Q204" s="15">
        <f>IFERROR(__xludf.DUMMYFUNCTION("IFNA(INDEX(GOOGLEFINANCE(""Currency:USD""&amp;$P204,""price"",DATE(YEAR($L204),MONTH($L204),DAY($L204))),2,2),LOOKUP(P204,CurrencyCodes,UnitsPerUSD))"),9.2901)</f>
        <v>9.2901</v>
      </c>
      <c r="R204" s="17">
        <f t="shared" si="3"/>
        <v>2152829.356</v>
      </c>
    </row>
    <row r="205">
      <c r="A205" s="7">
        <v>43896.871263657406</v>
      </c>
      <c r="B205" s="18" t="s">
        <v>250</v>
      </c>
      <c r="C205" s="19"/>
      <c r="D205" s="18"/>
      <c r="E205" s="18" t="s">
        <v>815</v>
      </c>
      <c r="F205" s="18"/>
      <c r="G205" s="19"/>
      <c r="H205" s="21" t="s">
        <v>812</v>
      </c>
      <c r="I205" s="21" t="s">
        <v>39</v>
      </c>
      <c r="J205" s="11">
        <v>8.0E7</v>
      </c>
      <c r="K205" s="21" t="s">
        <v>813</v>
      </c>
      <c r="L205" s="22"/>
      <c r="M205" s="21"/>
      <c r="N205" s="21" t="s">
        <v>816</v>
      </c>
      <c r="O205" s="15" t="str">
        <f t="shared" si="1"/>
        <v>Unknown</v>
      </c>
      <c r="P205" s="16" t="str">
        <f t="shared" si="2"/>
        <v>SEK</v>
      </c>
      <c r="Q205" s="15">
        <f>IFERROR(__xludf.DUMMYFUNCTION("IFNA(INDEX(GOOGLEFINANCE(""Currency:USD""&amp;$P205,""price"",DATE(YEAR($L205),MONTH($L205),DAY($L205))),2,2),LOOKUP(P205,CurrencyCodes,UnitsPerUSD))"),9.7056528817)</f>
        <v>9.705652882</v>
      </c>
      <c r="R205" s="17">
        <f t="shared" si="3"/>
        <v>8242619.118</v>
      </c>
    </row>
    <row r="206">
      <c r="A206" s="7">
        <v>43896.85287606482</v>
      </c>
      <c r="B206" s="8" t="s">
        <v>18</v>
      </c>
      <c r="C206" s="9">
        <v>16.0</v>
      </c>
      <c r="D206" s="8" t="s">
        <v>817</v>
      </c>
      <c r="E206" s="8" t="s">
        <v>818</v>
      </c>
      <c r="F206" s="8"/>
      <c r="G206" s="9"/>
      <c r="H206" s="10" t="s">
        <v>812</v>
      </c>
      <c r="I206" s="10" t="s">
        <v>39</v>
      </c>
      <c r="J206" s="11">
        <v>1.32E7</v>
      </c>
      <c r="K206" s="10" t="s">
        <v>813</v>
      </c>
      <c r="L206" s="25">
        <v>43179.0</v>
      </c>
      <c r="M206" s="28" t="s">
        <v>819</v>
      </c>
      <c r="N206" s="10" t="s">
        <v>820</v>
      </c>
      <c r="O206" s="15">
        <f t="shared" si="1"/>
        <v>2018</v>
      </c>
      <c r="P206" s="16" t="str">
        <f t="shared" si="2"/>
        <v>SEK</v>
      </c>
      <c r="Q206" s="15">
        <f>IFERROR(__xludf.DUMMYFUNCTION("IFNA(INDEX(GOOGLEFINANCE(""Currency:USD""&amp;$P206,""price"",DATE(YEAR($L206),MONTH($L206),DAY($L206))),2,2),LOOKUP(P206,CurrencyCodes,UnitsPerUSD))"),8.21578)</f>
        <v>8.21578</v>
      </c>
      <c r="R206" s="17">
        <f t="shared" si="3"/>
        <v>1606664.249</v>
      </c>
    </row>
    <row r="207">
      <c r="A207" s="7">
        <v>43919.160015381945</v>
      </c>
      <c r="B207" s="18" t="s">
        <v>250</v>
      </c>
      <c r="C207" s="9">
        <v>45.0</v>
      </c>
      <c r="D207" s="18" t="s">
        <v>821</v>
      </c>
      <c r="E207" s="18" t="s">
        <v>822</v>
      </c>
      <c r="F207" s="8" t="s">
        <v>823</v>
      </c>
      <c r="G207" s="19">
        <v>3604.0</v>
      </c>
      <c r="H207" s="21" t="s">
        <v>824</v>
      </c>
      <c r="I207" s="21" t="s">
        <v>39</v>
      </c>
      <c r="J207" s="11">
        <v>0.0</v>
      </c>
      <c r="K207" s="21" t="s">
        <v>825</v>
      </c>
      <c r="L207" s="22"/>
      <c r="M207" s="24" t="s">
        <v>826</v>
      </c>
      <c r="N207" s="12" t="s">
        <v>827</v>
      </c>
      <c r="O207" s="15" t="str">
        <f t="shared" si="1"/>
        <v>Unknown</v>
      </c>
      <c r="P207" s="16" t="str">
        <f t="shared" si="2"/>
        <v>CHF</v>
      </c>
      <c r="Q207" s="15">
        <f>IFERROR(__xludf.DUMMYFUNCTION("IFNA(INDEX(GOOGLEFINANCE(""Currency:USD""&amp;$P207,""price"",DATE(YEAR($L207),MONTH($L207),DAY($L207))),2,2),LOOKUP(P207,CurrencyCodes,UnitsPerUSD))"),0.9507302718)</f>
        <v>0.9507302718</v>
      </c>
      <c r="R207" s="17">
        <f t="shared" si="3"/>
        <v>0</v>
      </c>
    </row>
    <row r="208">
      <c r="A208" s="7">
        <v>44029.3171740625</v>
      </c>
      <c r="B208" s="8" t="s">
        <v>18</v>
      </c>
      <c r="C208" s="9">
        <v>28.0</v>
      </c>
      <c r="D208" s="8" t="s">
        <v>828</v>
      </c>
      <c r="E208" s="8" t="s">
        <v>829</v>
      </c>
      <c r="F208" s="8" t="s">
        <v>830</v>
      </c>
      <c r="G208" s="9" t="s">
        <v>831</v>
      </c>
      <c r="H208" s="10" t="s">
        <v>832</v>
      </c>
      <c r="I208" s="10" t="s">
        <v>24</v>
      </c>
      <c r="J208" s="11">
        <v>149500.0</v>
      </c>
      <c r="K208" s="10" t="s">
        <v>833</v>
      </c>
      <c r="L208" s="25">
        <v>44024.0</v>
      </c>
      <c r="M208" s="28" t="s">
        <v>834</v>
      </c>
      <c r="N208" s="12" t="s">
        <v>835</v>
      </c>
      <c r="O208" s="15">
        <f t="shared" si="1"/>
        <v>2020</v>
      </c>
      <c r="P208" s="16" t="str">
        <f t="shared" si="2"/>
        <v>GBP</v>
      </c>
      <c r="Q208" s="15">
        <f>IFERROR(__xludf.DUMMYFUNCTION("IFNA(INDEX(GOOGLEFINANCE(""Currency:USD""&amp;$P208,""price"",DATE(YEAR($L208),MONTH($L208),DAY($L208))),2,2),LOOKUP(P208,CurrencyCodes,UnitsPerUSD))"),0.7919694)</f>
        <v>0.7919694</v>
      </c>
      <c r="R208" s="17">
        <f t="shared" si="3"/>
        <v>188769.9196</v>
      </c>
    </row>
    <row r="209">
      <c r="A209" s="7">
        <v>43905.45916702546</v>
      </c>
      <c r="B209" s="8" t="s">
        <v>18</v>
      </c>
      <c r="C209" s="9"/>
      <c r="D209" s="8"/>
      <c r="E209" s="8" t="s">
        <v>836</v>
      </c>
      <c r="F209" s="8" t="s">
        <v>837</v>
      </c>
      <c r="G209" s="9"/>
      <c r="H209" s="10" t="s">
        <v>832</v>
      </c>
      <c r="I209" s="10" t="s">
        <v>39</v>
      </c>
      <c r="J209" s="11">
        <v>0.0</v>
      </c>
      <c r="K209" s="10" t="s">
        <v>833</v>
      </c>
      <c r="L209" s="22"/>
      <c r="M209" s="10"/>
      <c r="N209" s="10" t="s">
        <v>175</v>
      </c>
      <c r="O209" s="15" t="str">
        <f t="shared" si="1"/>
        <v>Unknown</v>
      </c>
      <c r="P209" s="16" t="str">
        <f t="shared" si="2"/>
        <v>GBP</v>
      </c>
      <c r="Q209" s="15">
        <f>IFERROR(__xludf.DUMMYFUNCTION("IFNA(INDEX(GOOGLEFINANCE(""Currency:USD""&amp;$P209,""price"",DATE(YEAR($L209),MONTH($L209),DAY($L209))),2,2),LOOKUP(P209,CurrencyCodes,UnitsPerUSD))"),0.8143333168)</f>
        <v>0.8143333168</v>
      </c>
      <c r="R209" s="17">
        <f t="shared" si="3"/>
        <v>0</v>
      </c>
    </row>
    <row r="210">
      <c r="A210" s="7">
        <v>43902.11577888889</v>
      </c>
      <c r="B210" s="18" t="s">
        <v>18</v>
      </c>
      <c r="C210" s="19"/>
      <c r="D210" s="18" t="s">
        <v>838</v>
      </c>
      <c r="E210" s="18" t="s">
        <v>839</v>
      </c>
      <c r="F210" s="18" t="s">
        <v>840</v>
      </c>
      <c r="G210" s="19" t="s">
        <v>841</v>
      </c>
      <c r="H210" s="21" t="s">
        <v>832</v>
      </c>
      <c r="I210" s="21" t="s">
        <v>39</v>
      </c>
      <c r="J210" s="11">
        <v>920000.0</v>
      </c>
      <c r="K210" s="21" t="s">
        <v>833</v>
      </c>
      <c r="L210" s="25">
        <v>43475.0</v>
      </c>
      <c r="M210" s="31" t="s">
        <v>842</v>
      </c>
      <c r="N210" s="21"/>
      <c r="O210" s="15">
        <f t="shared" si="1"/>
        <v>2019</v>
      </c>
      <c r="P210" s="16" t="str">
        <f t="shared" si="2"/>
        <v>GBP</v>
      </c>
      <c r="Q210" s="15">
        <f>IFERROR(__xludf.DUMMYFUNCTION("IFNA(INDEX(GOOGLEFINANCE(""Currency:USD""&amp;$P210,""price"",DATE(YEAR($L210),MONTH($L210),DAY($L210))),2,2),LOOKUP(P210,CurrencyCodes,UnitsPerUSD))"),0.78407)</f>
        <v>0.78407</v>
      </c>
      <c r="R210" s="17">
        <f t="shared" si="3"/>
        <v>1173364.623</v>
      </c>
    </row>
    <row r="211">
      <c r="A211" s="7">
        <v>43902.028237754625</v>
      </c>
      <c r="B211" s="8" t="s">
        <v>18</v>
      </c>
      <c r="C211" s="9" t="s">
        <v>843</v>
      </c>
      <c r="D211" s="8" t="s">
        <v>844</v>
      </c>
      <c r="E211" s="8" t="s">
        <v>845</v>
      </c>
      <c r="F211" s="8" t="s">
        <v>846</v>
      </c>
      <c r="G211" s="9" t="s">
        <v>847</v>
      </c>
      <c r="H211" s="10" t="s">
        <v>832</v>
      </c>
      <c r="I211" s="10" t="s">
        <v>39</v>
      </c>
      <c r="J211" s="11">
        <v>250000.0</v>
      </c>
      <c r="K211" s="10" t="s">
        <v>833</v>
      </c>
      <c r="L211" s="25">
        <v>43862.0</v>
      </c>
      <c r="M211" s="14" t="s">
        <v>848</v>
      </c>
      <c r="N211" s="10"/>
      <c r="O211" s="15">
        <f t="shared" si="1"/>
        <v>2020</v>
      </c>
      <c r="P211" s="16" t="str">
        <f t="shared" si="2"/>
        <v>GBP</v>
      </c>
      <c r="Q211" s="15">
        <f>IFERROR(__xludf.DUMMYFUNCTION("IFNA(INDEX(GOOGLEFINANCE(""Currency:USD""&amp;$P211,""price"",DATE(YEAR($L211),MONTH($L211),DAY($L211))),2,2),LOOKUP(P211,CurrencyCodes,UnitsPerUSD))"),0.7573119)</f>
        <v>0.7573119</v>
      </c>
      <c r="R211" s="17">
        <f t="shared" si="3"/>
        <v>330114.9764</v>
      </c>
    </row>
    <row r="212">
      <c r="A212" s="7">
        <v>44027.91046907408</v>
      </c>
      <c r="B212" s="8" t="s">
        <v>250</v>
      </c>
      <c r="C212" s="9">
        <v>1.0</v>
      </c>
      <c r="D212" s="8" t="s">
        <v>849</v>
      </c>
      <c r="E212" s="8" t="s">
        <v>850</v>
      </c>
      <c r="F212" s="8" t="s">
        <v>851</v>
      </c>
      <c r="G212" s="9" t="s">
        <v>852</v>
      </c>
      <c r="H212" s="10" t="s">
        <v>832</v>
      </c>
      <c r="I212" s="10" t="s">
        <v>24</v>
      </c>
      <c r="J212" s="11">
        <v>435000.0</v>
      </c>
      <c r="K212" s="10" t="s">
        <v>833</v>
      </c>
      <c r="L212" s="25">
        <v>43994.0</v>
      </c>
      <c r="M212" s="28" t="s">
        <v>853</v>
      </c>
      <c r="N212" s="10" t="s">
        <v>854</v>
      </c>
      <c r="O212" s="15">
        <f t="shared" si="1"/>
        <v>2020</v>
      </c>
      <c r="P212" s="16" t="str">
        <f t="shared" si="2"/>
        <v>GBP</v>
      </c>
      <c r="Q212" s="15">
        <f>IFERROR(__xludf.DUMMYFUNCTION("IFNA(INDEX(GOOGLEFINANCE(""Currency:USD""&amp;$P212,""price"",DATE(YEAR($L212),MONTH($L212),DAY($L212))),2,2),LOOKUP(P212,CurrencyCodes,UnitsPerUSD))"),0.7971621)</f>
        <v>0.7971621</v>
      </c>
      <c r="R212" s="17">
        <f t="shared" si="3"/>
        <v>545685.752</v>
      </c>
    </row>
    <row r="213">
      <c r="A213" s="7">
        <v>44034.40671451389</v>
      </c>
      <c r="B213" s="8" t="s">
        <v>250</v>
      </c>
      <c r="C213" s="9" t="s">
        <v>855</v>
      </c>
      <c r="D213" s="8" t="s">
        <v>856</v>
      </c>
      <c r="E213" s="8" t="s">
        <v>857</v>
      </c>
      <c r="F213" s="8" t="s">
        <v>858</v>
      </c>
      <c r="G213" s="9" t="s">
        <v>859</v>
      </c>
      <c r="H213" s="10" t="s">
        <v>832</v>
      </c>
      <c r="I213" s="10" t="s">
        <v>39</v>
      </c>
      <c r="J213" s="11">
        <v>3500000.0</v>
      </c>
      <c r="K213" s="10" t="s">
        <v>833</v>
      </c>
      <c r="L213" s="25">
        <v>44032.0</v>
      </c>
      <c r="M213" s="28" t="s">
        <v>860</v>
      </c>
      <c r="N213" s="12" t="s">
        <v>861</v>
      </c>
      <c r="O213" s="15">
        <f t="shared" si="1"/>
        <v>2020</v>
      </c>
      <c r="P213" s="16" t="str">
        <f t="shared" si="2"/>
        <v>GBP</v>
      </c>
      <c r="Q213" s="15">
        <f>IFERROR(__xludf.DUMMYFUNCTION("IFNA(INDEX(GOOGLEFINANCE(""Currency:USD""&amp;$P213,""price"",DATE(YEAR($L213),MONTH($L213),DAY($L213))),2,2),LOOKUP(P213,CurrencyCodes,UnitsPerUSD))"),0.78995)</f>
        <v>0.78995</v>
      </c>
      <c r="R213" s="17">
        <f t="shared" si="3"/>
        <v>4430660.168</v>
      </c>
    </row>
    <row r="214">
      <c r="A214" s="7">
        <v>43910.034895370365</v>
      </c>
      <c r="B214" s="18" t="s">
        <v>18</v>
      </c>
      <c r="C214" s="9"/>
      <c r="D214" s="18" t="s">
        <v>862</v>
      </c>
      <c r="E214" s="18" t="s">
        <v>863</v>
      </c>
      <c r="F214" s="8" t="s">
        <v>864</v>
      </c>
      <c r="G214" s="19" t="s">
        <v>865</v>
      </c>
      <c r="H214" s="21" t="s">
        <v>832</v>
      </c>
      <c r="I214" s="21" t="s">
        <v>39</v>
      </c>
      <c r="J214" s="11">
        <v>275000.0</v>
      </c>
      <c r="K214" s="21" t="s">
        <v>833</v>
      </c>
      <c r="L214" s="22"/>
      <c r="M214" s="31" t="s">
        <v>866</v>
      </c>
      <c r="N214" s="21"/>
      <c r="O214" s="15" t="str">
        <f t="shared" si="1"/>
        <v>Unknown</v>
      </c>
      <c r="P214" s="16" t="str">
        <f t="shared" si="2"/>
        <v>GBP</v>
      </c>
      <c r="Q214" s="15">
        <f>IFERROR(__xludf.DUMMYFUNCTION("IFNA(INDEX(GOOGLEFINANCE(""Currency:USD""&amp;$P214,""price"",DATE(YEAR($L214),MONTH($L214),DAY($L214))),2,2),LOOKUP(P214,CurrencyCodes,UnitsPerUSD))"),0.8143333168)</f>
        <v>0.8143333168</v>
      </c>
      <c r="R214" s="17">
        <f t="shared" si="3"/>
        <v>337699.5566</v>
      </c>
    </row>
    <row r="215">
      <c r="A215" s="7">
        <v>44061.03972342593</v>
      </c>
      <c r="B215" s="8" t="s">
        <v>18</v>
      </c>
      <c r="C215" s="9">
        <v>51.0</v>
      </c>
      <c r="D215" s="8" t="s">
        <v>867</v>
      </c>
      <c r="E215" s="8" t="s">
        <v>868</v>
      </c>
      <c r="F215" s="8" t="s">
        <v>869</v>
      </c>
      <c r="G215" s="9" t="s">
        <v>870</v>
      </c>
      <c r="H215" s="10" t="s">
        <v>832</v>
      </c>
      <c r="I215" s="10" t="s">
        <v>39</v>
      </c>
      <c r="J215" s="11">
        <v>300000.0</v>
      </c>
      <c r="K215" s="10" t="s">
        <v>833</v>
      </c>
      <c r="L215" s="25">
        <v>43709.0</v>
      </c>
      <c r="M215" s="28" t="s">
        <v>871</v>
      </c>
      <c r="N215" s="12" t="s">
        <v>872</v>
      </c>
      <c r="O215" s="15">
        <f t="shared" si="1"/>
        <v>2019</v>
      </c>
      <c r="P215" s="16" t="str">
        <f t="shared" si="2"/>
        <v>GBP</v>
      </c>
      <c r="Q215" s="15">
        <f>IFERROR(__xludf.DUMMYFUNCTION("IFNA(INDEX(GOOGLEFINANCE(""Currency:USD""&amp;$P215,""price"",DATE(YEAR($L215),MONTH($L215),DAY($L215))),2,2),LOOKUP(P215,CurrencyCodes,UnitsPerUSD))"),0.822465)</f>
        <v>0.822465</v>
      </c>
      <c r="R215" s="17">
        <f t="shared" si="3"/>
        <v>364757.1629</v>
      </c>
    </row>
    <row r="216">
      <c r="A216" s="7">
        <v>43918.40724180556</v>
      </c>
      <c r="B216" s="18" t="s">
        <v>18</v>
      </c>
      <c r="C216" s="19"/>
      <c r="D216" s="18" t="s">
        <v>873</v>
      </c>
      <c r="E216" s="18" t="s">
        <v>874</v>
      </c>
      <c r="F216" s="18" t="s">
        <v>875</v>
      </c>
      <c r="G216" s="19" t="s">
        <v>876</v>
      </c>
      <c r="H216" s="21" t="s">
        <v>832</v>
      </c>
      <c r="I216" s="21" t="s">
        <v>39</v>
      </c>
      <c r="J216" s="11">
        <v>475000.0</v>
      </c>
      <c r="K216" s="21" t="s">
        <v>833</v>
      </c>
      <c r="L216" s="25">
        <v>42937.0</v>
      </c>
      <c r="M216" s="28" t="s">
        <v>877</v>
      </c>
      <c r="N216" s="27" t="s">
        <v>878</v>
      </c>
      <c r="O216" s="15">
        <f t="shared" si="1"/>
        <v>2017</v>
      </c>
      <c r="P216" s="16" t="str">
        <f t="shared" si="2"/>
        <v>GBP</v>
      </c>
      <c r="Q216" s="15">
        <f>IFERROR(__xludf.DUMMYFUNCTION("IFNA(INDEX(GOOGLEFINANCE(""Currency:USD""&amp;$P216,""price"",DATE(YEAR($L216),MONTH($L216),DAY($L216))),2,2),LOOKUP(P216,CurrencyCodes,UnitsPerUSD))"),0.76951)</f>
        <v>0.76951</v>
      </c>
      <c r="R216" s="17">
        <f t="shared" si="3"/>
        <v>617275.9288</v>
      </c>
    </row>
    <row r="217">
      <c r="A217" s="7">
        <v>43902.016873796296</v>
      </c>
      <c r="B217" s="18" t="s">
        <v>18</v>
      </c>
      <c r="C217" s="19"/>
      <c r="D217" s="18" t="s">
        <v>879</v>
      </c>
      <c r="E217" s="18" t="s">
        <v>880</v>
      </c>
      <c r="F217" s="18" t="s">
        <v>881</v>
      </c>
      <c r="G217" s="9" t="s">
        <v>882</v>
      </c>
      <c r="H217" s="21" t="s">
        <v>832</v>
      </c>
      <c r="I217" s="21" t="s">
        <v>24</v>
      </c>
      <c r="J217" s="11">
        <v>400000.0</v>
      </c>
      <c r="K217" s="21" t="s">
        <v>833</v>
      </c>
      <c r="L217" s="22"/>
      <c r="M217" s="31" t="s">
        <v>883</v>
      </c>
      <c r="N217" s="21"/>
      <c r="O217" s="15" t="str">
        <f t="shared" si="1"/>
        <v>Unknown</v>
      </c>
      <c r="P217" s="16" t="str">
        <f t="shared" si="2"/>
        <v>GBP</v>
      </c>
      <c r="Q217" s="15">
        <f>IFERROR(__xludf.DUMMYFUNCTION("IFNA(INDEX(GOOGLEFINANCE(""Currency:USD""&amp;$P217,""price"",DATE(YEAR($L217),MONTH($L217),DAY($L217))),2,2),LOOKUP(P217,CurrencyCodes,UnitsPerUSD))"),0.8143333168)</f>
        <v>0.8143333168</v>
      </c>
      <c r="R217" s="17">
        <f t="shared" si="3"/>
        <v>491199.355</v>
      </c>
    </row>
    <row r="218">
      <c r="A218" s="7">
        <v>43931.57820790509</v>
      </c>
      <c r="B218" s="8" t="s">
        <v>18</v>
      </c>
      <c r="C218" s="9">
        <v>24.0</v>
      </c>
      <c r="D218" s="8" t="s">
        <v>884</v>
      </c>
      <c r="E218" s="8" t="s">
        <v>885</v>
      </c>
      <c r="F218" s="8" t="s">
        <v>886</v>
      </c>
      <c r="G218" s="9" t="s">
        <v>887</v>
      </c>
      <c r="H218" s="10" t="s">
        <v>832</v>
      </c>
      <c r="I218" s="10" t="s">
        <v>39</v>
      </c>
      <c r="J218" s="11">
        <v>1200000.0</v>
      </c>
      <c r="K218" s="10" t="s">
        <v>833</v>
      </c>
      <c r="L218" s="25">
        <v>43921.0</v>
      </c>
      <c r="M218" s="28" t="s">
        <v>888</v>
      </c>
      <c r="N218" s="12" t="s">
        <v>889</v>
      </c>
      <c r="O218" s="15">
        <f t="shared" si="1"/>
        <v>2020</v>
      </c>
      <c r="P218" s="16" t="str">
        <f t="shared" si="2"/>
        <v>GBP</v>
      </c>
      <c r="Q218" s="15">
        <f>IFERROR(__xludf.DUMMYFUNCTION("IFNA(INDEX(GOOGLEFINANCE(""Currency:USD""&amp;$P218,""price"",DATE(YEAR($L218),MONTH($L218),DAY($L218))),2,2),LOOKUP(P218,CurrencyCodes,UnitsPerUSD))"),0.806)</f>
        <v>0.806</v>
      </c>
      <c r="R218" s="17">
        <f t="shared" si="3"/>
        <v>1488833.747</v>
      </c>
    </row>
    <row r="219">
      <c r="A219" s="7">
        <v>43934.41595834491</v>
      </c>
      <c r="B219" s="18" t="s">
        <v>18</v>
      </c>
      <c r="C219" s="9"/>
      <c r="D219" s="8" t="s">
        <v>890</v>
      </c>
      <c r="E219" s="8" t="s">
        <v>891</v>
      </c>
      <c r="F219" s="18" t="s">
        <v>892</v>
      </c>
      <c r="G219" s="9"/>
      <c r="H219" s="21" t="s">
        <v>832</v>
      </c>
      <c r="I219" s="21" t="s">
        <v>24</v>
      </c>
      <c r="J219" s="11">
        <v>0.0</v>
      </c>
      <c r="K219" s="21" t="s">
        <v>833</v>
      </c>
      <c r="L219" s="22"/>
      <c r="M219" s="10"/>
      <c r="N219" s="12" t="s">
        <v>893</v>
      </c>
      <c r="O219" s="15" t="str">
        <f t="shared" si="1"/>
        <v>Unknown</v>
      </c>
      <c r="P219" s="16" t="str">
        <f t="shared" si="2"/>
        <v>GBP</v>
      </c>
      <c r="Q219" s="15">
        <f>IFERROR(__xludf.DUMMYFUNCTION("IFNA(INDEX(GOOGLEFINANCE(""Currency:USD""&amp;$P219,""price"",DATE(YEAR($L219),MONTH($L219),DAY($L219))),2,2),LOOKUP(P219,CurrencyCodes,UnitsPerUSD))"),0.8143333168)</f>
        <v>0.8143333168</v>
      </c>
      <c r="R219" s="17">
        <f t="shared" si="3"/>
        <v>0</v>
      </c>
    </row>
    <row r="220">
      <c r="A220" s="7">
        <v>43931.16428277778</v>
      </c>
      <c r="B220" s="18" t="s">
        <v>18</v>
      </c>
      <c r="C220" s="19">
        <v>156.0</v>
      </c>
      <c r="D220" s="18" t="s">
        <v>894</v>
      </c>
      <c r="E220" s="18" t="s">
        <v>895</v>
      </c>
      <c r="F220" s="18" t="s">
        <v>896</v>
      </c>
      <c r="G220" s="9" t="s">
        <v>897</v>
      </c>
      <c r="H220" s="21" t="s">
        <v>832</v>
      </c>
      <c r="I220" s="21" t="s">
        <v>39</v>
      </c>
      <c r="J220" s="11">
        <v>150000.0</v>
      </c>
      <c r="K220" s="21" t="s">
        <v>833</v>
      </c>
      <c r="L220" s="25">
        <v>43101.0</v>
      </c>
      <c r="M220" s="24" t="s">
        <v>898</v>
      </c>
      <c r="N220" s="27" t="s">
        <v>899</v>
      </c>
      <c r="O220" s="15">
        <f t="shared" si="1"/>
        <v>2018</v>
      </c>
      <c r="P220" s="16" t="str">
        <f t="shared" si="2"/>
        <v>GBP</v>
      </c>
      <c r="Q220" s="15">
        <f>IFERROR(__xludf.DUMMYFUNCTION("IFNA(INDEX(GOOGLEFINANCE(""Currency:USD""&amp;$P220,""price"",DATE(YEAR($L220),MONTH($L220),DAY($L220))),2,2),LOOKUP(P220,CurrencyCodes,UnitsPerUSD))"),0.74012)</f>
        <v>0.74012</v>
      </c>
      <c r="R220" s="17">
        <f t="shared" si="3"/>
        <v>202669.8373</v>
      </c>
    </row>
    <row r="221">
      <c r="A221" s="7">
        <v>43919.17317025463</v>
      </c>
      <c r="B221" s="18" t="s">
        <v>18</v>
      </c>
      <c r="C221" s="19">
        <v>25.0</v>
      </c>
      <c r="D221" s="18" t="s">
        <v>900</v>
      </c>
      <c r="E221" s="18" t="s">
        <v>901</v>
      </c>
      <c r="F221" s="18" t="s">
        <v>902</v>
      </c>
      <c r="G221" s="19" t="s">
        <v>903</v>
      </c>
      <c r="H221" s="21" t="s">
        <v>832</v>
      </c>
      <c r="I221" s="21" t="s">
        <v>39</v>
      </c>
      <c r="J221" s="11">
        <v>515000.0</v>
      </c>
      <c r="K221" s="21" t="s">
        <v>833</v>
      </c>
      <c r="L221" s="25">
        <v>43405.0</v>
      </c>
      <c r="M221" s="31" t="s">
        <v>904</v>
      </c>
      <c r="N221" s="21"/>
      <c r="O221" s="15">
        <f t="shared" si="1"/>
        <v>2018</v>
      </c>
      <c r="P221" s="16" t="str">
        <f t="shared" si="2"/>
        <v>GBP</v>
      </c>
      <c r="Q221" s="15">
        <f>IFERROR(__xludf.DUMMYFUNCTION("IFNA(INDEX(GOOGLEFINANCE(""Currency:USD""&amp;$P221,""price"",DATE(YEAR($L221),MONTH($L221),DAY($L221))),2,2),LOOKUP(P221,CurrencyCodes,UnitsPerUSD))"),0.76901)</f>
        <v>0.76901</v>
      </c>
      <c r="R221" s="17">
        <f t="shared" si="3"/>
        <v>669692.2017</v>
      </c>
    </row>
    <row r="222">
      <c r="A222" s="7">
        <v>43935.80589027778</v>
      </c>
      <c r="B222" s="18" t="s">
        <v>18</v>
      </c>
      <c r="C222" s="19"/>
      <c r="D222" s="18" t="s">
        <v>905</v>
      </c>
      <c r="E222" s="18" t="s">
        <v>906</v>
      </c>
      <c r="F222" s="18" t="s">
        <v>907</v>
      </c>
      <c r="G222" s="19" t="s">
        <v>908</v>
      </c>
      <c r="H222" s="21" t="s">
        <v>832</v>
      </c>
      <c r="I222" s="21" t="s">
        <v>39</v>
      </c>
      <c r="J222" s="11">
        <v>0.0</v>
      </c>
      <c r="K222" s="21" t="s">
        <v>833</v>
      </c>
      <c r="L222" s="22"/>
      <c r="M222" s="10"/>
      <c r="N222" s="12" t="s">
        <v>909</v>
      </c>
      <c r="O222" s="15" t="str">
        <f t="shared" si="1"/>
        <v>Unknown</v>
      </c>
      <c r="P222" s="16" t="str">
        <f t="shared" si="2"/>
        <v>GBP</v>
      </c>
      <c r="Q222" s="15">
        <f>IFERROR(__xludf.DUMMYFUNCTION("IFNA(INDEX(GOOGLEFINANCE(""Currency:USD""&amp;$P222,""price"",DATE(YEAR($L222),MONTH($L222),DAY($L222))),2,2),LOOKUP(P222,CurrencyCodes,UnitsPerUSD))"),0.8143333168)</f>
        <v>0.8143333168</v>
      </c>
      <c r="R222" s="17">
        <f t="shared" si="3"/>
        <v>0</v>
      </c>
    </row>
    <row r="223">
      <c r="A223" s="7">
        <v>43931.098985115736</v>
      </c>
      <c r="B223" s="18" t="s">
        <v>18</v>
      </c>
      <c r="C223" s="9"/>
      <c r="D223" s="8" t="s">
        <v>910</v>
      </c>
      <c r="E223" s="18" t="s">
        <v>911</v>
      </c>
      <c r="F223" s="8" t="s">
        <v>912</v>
      </c>
      <c r="G223" s="19" t="s">
        <v>913</v>
      </c>
      <c r="H223" s="21" t="s">
        <v>832</v>
      </c>
      <c r="I223" s="21" t="s">
        <v>24</v>
      </c>
      <c r="J223" s="11">
        <v>149950.0</v>
      </c>
      <c r="K223" s="21" t="s">
        <v>833</v>
      </c>
      <c r="L223" s="25">
        <v>43919.0</v>
      </c>
      <c r="M223" s="28" t="s">
        <v>914</v>
      </c>
      <c r="N223" s="27" t="s">
        <v>915</v>
      </c>
      <c r="O223" s="15">
        <f t="shared" si="1"/>
        <v>2020</v>
      </c>
      <c r="P223" s="16" t="str">
        <f t="shared" si="2"/>
        <v>GBP</v>
      </c>
      <c r="Q223" s="15">
        <f>IFERROR(__xludf.DUMMYFUNCTION("IFNA(INDEX(GOOGLEFINANCE(""Currency:USD""&amp;$P223,""price"",DATE(YEAR($L223),MONTH($L223),DAY($L223))),2,2),LOOKUP(P223,CurrencyCodes,UnitsPerUSD))"),0.8031193)</f>
        <v>0.8031193</v>
      </c>
      <c r="R223" s="17">
        <f t="shared" si="3"/>
        <v>186709.4963</v>
      </c>
    </row>
    <row r="224">
      <c r="A224" s="7">
        <v>43910.060744409726</v>
      </c>
      <c r="B224" s="8" t="s">
        <v>18</v>
      </c>
      <c r="C224" s="9">
        <v>3.0</v>
      </c>
      <c r="D224" s="8" t="s">
        <v>916</v>
      </c>
      <c r="E224" s="8" t="s">
        <v>917</v>
      </c>
      <c r="F224" s="8" t="s">
        <v>918</v>
      </c>
      <c r="G224" s="9" t="s">
        <v>919</v>
      </c>
      <c r="H224" s="10" t="s">
        <v>832</v>
      </c>
      <c r="I224" s="10" t="s">
        <v>39</v>
      </c>
      <c r="J224" s="11">
        <v>150000.0</v>
      </c>
      <c r="K224" s="10" t="s">
        <v>174</v>
      </c>
      <c r="L224" s="25">
        <v>43374.0</v>
      </c>
      <c r="M224" s="14" t="s">
        <v>920</v>
      </c>
      <c r="N224" s="10"/>
      <c r="O224" s="15">
        <f t="shared" si="1"/>
        <v>2018</v>
      </c>
      <c r="P224" s="16" t="str">
        <f t="shared" si="2"/>
        <v>EUR</v>
      </c>
      <c r="Q224" s="15">
        <f>IFERROR(__xludf.DUMMYFUNCTION("IFNA(INDEX(GOOGLEFINANCE(""Currency:USD""&amp;$P224,""price"",DATE(YEAR($L224),MONTH($L224),DAY($L224))),2,2),LOOKUP(P224,CurrencyCodes,UnitsPerUSD))"),0.86374)</f>
        <v>0.86374</v>
      </c>
      <c r="R224" s="17">
        <f t="shared" si="3"/>
        <v>173663.3709</v>
      </c>
    </row>
    <row r="225">
      <c r="A225" s="7">
        <v>43931.59088798611</v>
      </c>
      <c r="B225" s="18" t="s">
        <v>18</v>
      </c>
      <c r="C225" s="19">
        <v>137.0</v>
      </c>
      <c r="D225" s="18" t="s">
        <v>921</v>
      </c>
      <c r="E225" s="18" t="s">
        <v>922</v>
      </c>
      <c r="F225" s="18" t="s">
        <v>923</v>
      </c>
      <c r="G225" s="19" t="s">
        <v>924</v>
      </c>
      <c r="H225" s="21" t="s">
        <v>832</v>
      </c>
      <c r="I225" s="21" t="s">
        <v>39</v>
      </c>
      <c r="J225" s="11">
        <v>194841.0</v>
      </c>
      <c r="K225" s="21" t="s">
        <v>833</v>
      </c>
      <c r="L225" s="25">
        <v>42430.0</v>
      </c>
      <c r="M225" s="24" t="s">
        <v>925</v>
      </c>
      <c r="N225" s="12" t="s">
        <v>926</v>
      </c>
      <c r="O225" s="15">
        <f t="shared" si="1"/>
        <v>2016</v>
      </c>
      <c r="P225" s="16" t="str">
        <f t="shared" si="2"/>
        <v>GBP</v>
      </c>
      <c r="Q225" s="15">
        <f>IFERROR(__xludf.DUMMYFUNCTION("IFNA(INDEX(GOOGLEFINANCE(""Currency:USD""&amp;$P225,""price"",DATE(YEAR($L225),MONTH($L225),DAY($L225))),2,2),LOOKUP(P225,CurrencyCodes,UnitsPerUSD))"),0.71613)</f>
        <v>0.71613</v>
      </c>
      <c r="R225" s="17">
        <f t="shared" si="3"/>
        <v>272074.9026</v>
      </c>
    </row>
    <row r="226">
      <c r="A226" s="7">
        <v>43910.05370087963</v>
      </c>
      <c r="B226" s="18" t="s">
        <v>18</v>
      </c>
      <c r="C226" s="9"/>
      <c r="D226" s="8" t="s">
        <v>927</v>
      </c>
      <c r="E226" s="18" t="s">
        <v>928</v>
      </c>
      <c r="F226" s="8" t="s">
        <v>929</v>
      </c>
      <c r="G226" s="9" t="s">
        <v>930</v>
      </c>
      <c r="H226" s="21" t="s">
        <v>832</v>
      </c>
      <c r="I226" s="21" t="s">
        <v>39</v>
      </c>
      <c r="J226" s="11">
        <v>250000.0</v>
      </c>
      <c r="K226" s="21" t="s">
        <v>833</v>
      </c>
      <c r="L226" s="22"/>
      <c r="M226" s="28" t="s">
        <v>931</v>
      </c>
      <c r="N226" s="31" t="s">
        <v>932</v>
      </c>
      <c r="O226" s="15" t="str">
        <f t="shared" si="1"/>
        <v>Unknown</v>
      </c>
      <c r="P226" s="16" t="str">
        <f t="shared" si="2"/>
        <v>GBP</v>
      </c>
      <c r="Q226" s="15">
        <f>IFERROR(__xludf.DUMMYFUNCTION("IFNA(INDEX(GOOGLEFINANCE(""Currency:USD""&amp;$P226,""price"",DATE(YEAR($L226),MONTH($L226),DAY($L226))),2,2),LOOKUP(P226,CurrencyCodes,UnitsPerUSD))"),0.8143333168)</f>
        <v>0.8143333168</v>
      </c>
      <c r="R226" s="17">
        <f t="shared" si="3"/>
        <v>306999.5969</v>
      </c>
    </row>
    <row r="227">
      <c r="A227" s="7">
        <v>43912.41453729167</v>
      </c>
      <c r="B227" s="18" t="s">
        <v>18</v>
      </c>
      <c r="C227" s="19"/>
      <c r="D227" s="18" t="s">
        <v>933</v>
      </c>
      <c r="E227" s="18" t="s">
        <v>934</v>
      </c>
      <c r="F227" s="18" t="s">
        <v>935</v>
      </c>
      <c r="G227" s="9" t="s">
        <v>936</v>
      </c>
      <c r="H227" s="21" t="s">
        <v>832</v>
      </c>
      <c r="I227" s="21" t="s">
        <v>24</v>
      </c>
      <c r="J227" s="11">
        <v>76500.0</v>
      </c>
      <c r="K227" s="21" t="s">
        <v>833</v>
      </c>
      <c r="L227" s="25">
        <v>43891.0</v>
      </c>
      <c r="M227" s="24" t="s">
        <v>937</v>
      </c>
      <c r="N227" s="27" t="s">
        <v>938</v>
      </c>
      <c r="O227" s="15">
        <f t="shared" si="1"/>
        <v>2020</v>
      </c>
      <c r="P227" s="16" t="str">
        <f t="shared" si="2"/>
        <v>GBP</v>
      </c>
      <c r="Q227" s="15">
        <f>IFERROR(__xludf.DUMMYFUNCTION("IFNA(INDEX(GOOGLEFINANCE(""Currency:USD""&amp;$P227,""price"",DATE(YEAR($L227),MONTH($L227),DAY($L227))),2,2),LOOKUP(P227,CurrencyCodes,UnitsPerUSD))"),0.780805)</f>
        <v>0.780805</v>
      </c>
      <c r="R227" s="17">
        <f t="shared" si="3"/>
        <v>97975.80702</v>
      </c>
    </row>
    <row r="228">
      <c r="A228" s="7">
        <v>44001.350756087966</v>
      </c>
      <c r="B228" s="18" t="s">
        <v>18</v>
      </c>
      <c r="C228" s="19" t="s">
        <v>939</v>
      </c>
      <c r="D228" s="18" t="s">
        <v>940</v>
      </c>
      <c r="E228" s="18" t="s">
        <v>941</v>
      </c>
      <c r="F228" s="18" t="s">
        <v>928</v>
      </c>
      <c r="G228" s="19" t="s">
        <v>942</v>
      </c>
      <c r="H228" s="21" t="s">
        <v>832</v>
      </c>
      <c r="I228" s="21" t="s">
        <v>24</v>
      </c>
      <c r="J228" s="11">
        <v>380000.0</v>
      </c>
      <c r="K228" s="21" t="s">
        <v>833</v>
      </c>
      <c r="L228" s="25">
        <v>43997.0</v>
      </c>
      <c r="M228" s="31" t="s">
        <v>943</v>
      </c>
      <c r="N228" s="21"/>
      <c r="O228" s="15">
        <f t="shared" si="1"/>
        <v>2020</v>
      </c>
      <c r="P228" s="16" t="str">
        <f t="shared" si="2"/>
        <v>GBP</v>
      </c>
      <c r="Q228" s="15">
        <f>IFERROR(__xludf.DUMMYFUNCTION("IFNA(INDEX(GOOGLEFINANCE(""Currency:USD""&amp;$P228,""price"",DATE(YEAR($L228),MONTH($L228),DAY($L228))),2,2),LOOKUP(P228,CurrencyCodes,UnitsPerUSD))"),0.791475)</f>
        <v>0.791475</v>
      </c>
      <c r="R228" s="17">
        <f t="shared" si="3"/>
        <v>480116.2387</v>
      </c>
    </row>
    <row r="229">
      <c r="A229" s="7">
        <v>43938.00286068287</v>
      </c>
      <c r="B229" s="18" t="s">
        <v>18</v>
      </c>
      <c r="C229" s="19" t="s">
        <v>944</v>
      </c>
      <c r="D229" s="18" t="s">
        <v>945</v>
      </c>
      <c r="E229" s="18" t="s">
        <v>946</v>
      </c>
      <c r="F229" s="18" t="s">
        <v>947</v>
      </c>
      <c r="G229" s="9" t="s">
        <v>948</v>
      </c>
      <c r="H229" s="21" t="s">
        <v>832</v>
      </c>
      <c r="I229" s="21" t="s">
        <v>24</v>
      </c>
      <c r="J229" s="11">
        <v>200000.0</v>
      </c>
      <c r="K229" s="21" t="s">
        <v>833</v>
      </c>
      <c r="L229" s="22"/>
      <c r="M229" s="14" t="s">
        <v>949</v>
      </c>
      <c r="N229" s="10"/>
      <c r="O229" s="15" t="str">
        <f t="shared" si="1"/>
        <v>Unknown</v>
      </c>
      <c r="P229" s="16" t="str">
        <f t="shared" si="2"/>
        <v>GBP</v>
      </c>
      <c r="Q229" s="15">
        <f>IFERROR(__xludf.DUMMYFUNCTION("IFNA(INDEX(GOOGLEFINANCE(""Currency:USD""&amp;$P229,""price"",DATE(YEAR($L229),MONTH($L229),DAY($L229))),2,2),LOOKUP(P229,CurrencyCodes,UnitsPerUSD))"),0.8143333168)</f>
        <v>0.8143333168</v>
      </c>
      <c r="R229" s="17">
        <f t="shared" si="3"/>
        <v>245599.6775</v>
      </c>
    </row>
    <row r="230">
      <c r="A230" s="7">
        <v>43896.87942077546</v>
      </c>
      <c r="B230" s="18" t="s">
        <v>18</v>
      </c>
      <c r="C230" s="19"/>
      <c r="D230" s="18"/>
      <c r="E230" s="18" t="s">
        <v>950</v>
      </c>
      <c r="F230" s="18"/>
      <c r="G230" s="19"/>
      <c r="H230" s="21" t="s">
        <v>832</v>
      </c>
      <c r="I230" s="21" t="s">
        <v>39</v>
      </c>
      <c r="J230" s="11">
        <v>180000.0</v>
      </c>
      <c r="K230" s="21" t="s">
        <v>833</v>
      </c>
      <c r="L230" s="22"/>
      <c r="M230" s="21"/>
      <c r="N230" s="21" t="s">
        <v>951</v>
      </c>
      <c r="O230" s="15" t="str">
        <f t="shared" si="1"/>
        <v>Unknown</v>
      </c>
      <c r="P230" s="16" t="str">
        <f t="shared" si="2"/>
        <v>GBP</v>
      </c>
      <c r="Q230" s="15">
        <f>IFERROR(__xludf.DUMMYFUNCTION("IFNA(INDEX(GOOGLEFINANCE(""Currency:USD""&amp;$P230,""price"",DATE(YEAR($L230),MONTH($L230),DAY($L230))),2,2),LOOKUP(P230,CurrencyCodes,UnitsPerUSD))"),0.8143333168)</f>
        <v>0.8143333168</v>
      </c>
      <c r="R230" s="17">
        <f t="shared" si="3"/>
        <v>221039.7098</v>
      </c>
    </row>
    <row r="231">
      <c r="A231" s="7">
        <v>43902.03196003472</v>
      </c>
      <c r="B231" s="18" t="s">
        <v>18</v>
      </c>
      <c r="C231" s="19">
        <v>28.0</v>
      </c>
      <c r="D231" s="18" t="s">
        <v>952</v>
      </c>
      <c r="E231" s="18" t="s">
        <v>829</v>
      </c>
      <c r="F231" s="18"/>
      <c r="G231" s="9" t="s">
        <v>831</v>
      </c>
      <c r="H231" s="21" t="s">
        <v>832</v>
      </c>
      <c r="I231" s="21" t="s">
        <v>24</v>
      </c>
      <c r="J231" s="11">
        <v>149950.0</v>
      </c>
      <c r="K231" s="21" t="s">
        <v>833</v>
      </c>
      <c r="L231" s="22"/>
      <c r="M231" s="31" t="s">
        <v>953</v>
      </c>
      <c r="N231" s="21"/>
      <c r="O231" s="15" t="str">
        <f t="shared" si="1"/>
        <v>Unknown</v>
      </c>
      <c r="P231" s="16" t="str">
        <f t="shared" si="2"/>
        <v>GBP</v>
      </c>
      <c r="Q231" s="15">
        <f>IFERROR(__xludf.DUMMYFUNCTION("IFNA(INDEX(GOOGLEFINANCE(""Currency:USD""&amp;$P231,""price"",DATE(YEAR($L231),MONTH($L231),DAY($L231))),2,2),LOOKUP(P231,CurrencyCodes,UnitsPerUSD))"),0.8143333168)</f>
        <v>0.8143333168</v>
      </c>
      <c r="R231" s="17">
        <f t="shared" si="3"/>
        <v>184138.3582</v>
      </c>
    </row>
    <row r="232">
      <c r="A232" s="7">
        <v>43896.887181620375</v>
      </c>
      <c r="B232" s="18" t="s">
        <v>18</v>
      </c>
      <c r="C232" s="9">
        <v>57.0</v>
      </c>
      <c r="D232" s="8" t="s">
        <v>954</v>
      </c>
      <c r="E232" s="18" t="s">
        <v>955</v>
      </c>
      <c r="F232" s="18"/>
      <c r="G232" s="9"/>
      <c r="H232" s="21" t="s">
        <v>832</v>
      </c>
      <c r="I232" s="21" t="s">
        <v>39</v>
      </c>
      <c r="J232" s="11">
        <v>0.01</v>
      </c>
      <c r="K232" s="21" t="s">
        <v>833</v>
      </c>
      <c r="L232" s="22"/>
      <c r="M232" s="10"/>
      <c r="N232" s="21" t="s">
        <v>956</v>
      </c>
      <c r="O232" s="15" t="str">
        <f t="shared" si="1"/>
        <v>Unknown</v>
      </c>
      <c r="P232" s="16" t="str">
        <f t="shared" si="2"/>
        <v>GBP</v>
      </c>
      <c r="Q232" s="15">
        <f>IFERROR(__xludf.DUMMYFUNCTION("IFNA(INDEX(GOOGLEFINANCE(""Currency:USD""&amp;$P232,""price"",DATE(YEAR($L232),MONTH($L232),DAY($L232))),2,2),LOOKUP(P232,CurrencyCodes,UnitsPerUSD))"),0.8143333168)</f>
        <v>0.8143333168</v>
      </c>
      <c r="R232" s="17">
        <f t="shared" si="3"/>
        <v>0.01227998388</v>
      </c>
    </row>
    <row r="233">
      <c r="A233" s="7">
        <v>43900.888515046296</v>
      </c>
      <c r="B233" s="18" t="s">
        <v>18</v>
      </c>
      <c r="C233" s="19"/>
      <c r="D233" s="18" t="s">
        <v>957</v>
      </c>
      <c r="E233" s="18" t="s">
        <v>846</v>
      </c>
      <c r="F233" s="18"/>
      <c r="G233" s="19"/>
      <c r="H233" s="21" t="s">
        <v>832</v>
      </c>
      <c r="I233" s="21" t="s">
        <v>24</v>
      </c>
      <c r="J233" s="11">
        <v>380000.0</v>
      </c>
      <c r="K233" s="21" t="s">
        <v>833</v>
      </c>
      <c r="L233" s="22"/>
      <c r="M233" s="21"/>
      <c r="N233" s="21"/>
      <c r="O233" s="15" t="str">
        <f t="shared" si="1"/>
        <v>Unknown</v>
      </c>
      <c r="P233" s="16" t="str">
        <f t="shared" si="2"/>
        <v>GBP</v>
      </c>
      <c r="Q233" s="15">
        <f>IFERROR(__xludf.DUMMYFUNCTION("IFNA(INDEX(GOOGLEFINANCE(""Currency:USD""&amp;$P233,""price"",DATE(YEAR($L233),MONTH($L233),DAY($L233))),2,2),LOOKUP(P233,CurrencyCodes,UnitsPerUSD))"),0.8143333168)</f>
        <v>0.8143333168</v>
      </c>
      <c r="R233" s="17">
        <f t="shared" si="3"/>
        <v>466639.3873</v>
      </c>
    </row>
    <row r="234">
      <c r="A234" s="7">
        <v>43897.22783137731</v>
      </c>
      <c r="B234" s="18" t="s">
        <v>18</v>
      </c>
      <c r="C234" s="19"/>
      <c r="D234" s="18"/>
      <c r="E234" s="18" t="s">
        <v>958</v>
      </c>
      <c r="F234" s="18"/>
      <c r="G234" s="19"/>
      <c r="H234" s="21" t="s">
        <v>832</v>
      </c>
      <c r="I234" s="21" t="s">
        <v>39</v>
      </c>
      <c r="J234" s="11">
        <v>70000.0</v>
      </c>
      <c r="K234" s="21" t="s">
        <v>833</v>
      </c>
      <c r="L234" s="22"/>
      <c r="M234" s="21"/>
      <c r="N234" s="10" t="s">
        <v>959</v>
      </c>
      <c r="O234" s="15" t="str">
        <f t="shared" si="1"/>
        <v>Unknown</v>
      </c>
      <c r="P234" s="16" t="str">
        <f t="shared" si="2"/>
        <v>GBP</v>
      </c>
      <c r="Q234" s="15">
        <f>IFERROR(__xludf.DUMMYFUNCTION("IFNA(INDEX(GOOGLEFINANCE(""Currency:USD""&amp;$P234,""price"",DATE(YEAR($L234),MONTH($L234),DAY($L234))),2,2),LOOKUP(P234,CurrencyCodes,UnitsPerUSD))"),0.8143333168)</f>
        <v>0.8143333168</v>
      </c>
      <c r="R234" s="17">
        <f t="shared" si="3"/>
        <v>85959.88713</v>
      </c>
    </row>
    <row r="235">
      <c r="A235" s="7">
        <v>43911.63283318287</v>
      </c>
      <c r="B235" s="18" t="s">
        <v>250</v>
      </c>
      <c r="C235" s="29" t="s">
        <v>960</v>
      </c>
      <c r="D235" s="18" t="s">
        <v>961</v>
      </c>
      <c r="E235" s="20" t="s">
        <v>962</v>
      </c>
      <c r="F235" s="18"/>
      <c r="G235" s="19" t="s">
        <v>963</v>
      </c>
      <c r="H235" s="21" t="s">
        <v>832</v>
      </c>
      <c r="I235" s="21" t="s">
        <v>39</v>
      </c>
      <c r="J235" s="11">
        <v>1.0E7</v>
      </c>
      <c r="K235" s="21" t="s">
        <v>833</v>
      </c>
      <c r="L235" s="25">
        <v>43831.0</v>
      </c>
      <c r="M235" s="24" t="s">
        <v>964</v>
      </c>
      <c r="N235" s="21" t="s">
        <v>965</v>
      </c>
      <c r="O235" s="15">
        <f t="shared" si="1"/>
        <v>2020</v>
      </c>
      <c r="P235" s="16" t="str">
        <f t="shared" si="2"/>
        <v>GBP</v>
      </c>
      <c r="Q235" s="15">
        <f>IFERROR(__xludf.DUMMYFUNCTION("IFNA(INDEX(GOOGLEFINANCE(""Currency:USD""&amp;$P235,""price"",DATE(YEAR($L235),MONTH($L235),DAY($L235))),2,2),LOOKUP(P235,CurrencyCodes,UnitsPerUSD))"),0.7548)</f>
        <v>0.7548</v>
      </c>
      <c r="R235" s="17">
        <f t="shared" si="3"/>
        <v>13248542.66</v>
      </c>
    </row>
    <row r="236">
      <c r="A236" s="7">
        <v>43897.22909378472</v>
      </c>
      <c r="B236" s="18" t="s">
        <v>18</v>
      </c>
      <c r="C236" s="19">
        <v>56.0</v>
      </c>
      <c r="D236" s="18" t="s">
        <v>966</v>
      </c>
      <c r="E236" s="18" t="s">
        <v>967</v>
      </c>
      <c r="F236" s="18"/>
      <c r="G236" s="19"/>
      <c r="H236" s="21" t="s">
        <v>832</v>
      </c>
      <c r="I236" s="21" t="s">
        <v>39</v>
      </c>
      <c r="J236" s="11">
        <v>500000.0</v>
      </c>
      <c r="K236" s="21" t="s">
        <v>833</v>
      </c>
      <c r="L236" s="25">
        <v>43556.0</v>
      </c>
      <c r="M236" s="21"/>
      <c r="N236" s="21"/>
      <c r="O236" s="15">
        <f t="shared" si="1"/>
        <v>2019</v>
      </c>
      <c r="P236" s="16" t="str">
        <f t="shared" si="2"/>
        <v>GBP</v>
      </c>
      <c r="Q236" s="15">
        <f>IFERROR(__xludf.DUMMYFUNCTION("IFNA(INDEX(GOOGLEFINANCE(""Currency:USD""&amp;$P236,""price"",DATE(YEAR($L236),MONTH($L236),DAY($L236))),2,2),LOOKUP(P236,CurrencyCodes,UnitsPerUSD))"),0.76527)</f>
        <v>0.76527</v>
      </c>
      <c r="R236" s="17">
        <f t="shared" si="3"/>
        <v>653364.1721</v>
      </c>
    </row>
    <row r="237">
      <c r="A237" s="7">
        <v>43920.85355280092</v>
      </c>
      <c r="B237" s="8" t="s">
        <v>18</v>
      </c>
      <c r="C237" s="9">
        <v>68.0</v>
      </c>
      <c r="D237" s="8" t="s">
        <v>968</v>
      </c>
      <c r="E237" s="8" t="s">
        <v>969</v>
      </c>
      <c r="F237" s="8"/>
      <c r="G237" s="9" t="s">
        <v>970</v>
      </c>
      <c r="H237" s="10" t="s">
        <v>832</v>
      </c>
      <c r="I237" s="10" t="s">
        <v>24</v>
      </c>
      <c r="J237" s="11">
        <v>200000.0</v>
      </c>
      <c r="K237" s="10" t="s">
        <v>833</v>
      </c>
      <c r="L237" s="25">
        <v>43798.0</v>
      </c>
      <c r="M237" s="14" t="s">
        <v>971</v>
      </c>
      <c r="N237" s="10"/>
      <c r="O237" s="15">
        <f t="shared" si="1"/>
        <v>2019</v>
      </c>
      <c r="P237" s="16" t="str">
        <f t="shared" si="2"/>
        <v>GBP</v>
      </c>
      <c r="Q237" s="15">
        <f>IFERROR(__xludf.DUMMYFUNCTION("IFNA(INDEX(GOOGLEFINANCE(""Currency:USD""&amp;$P237,""price"",DATE(YEAR($L237),MONTH($L237),DAY($L237))),2,2),LOOKUP(P237,CurrencyCodes,UnitsPerUSD))"),0.7736945)</f>
        <v>0.7736945</v>
      </c>
      <c r="R237" s="17">
        <f t="shared" si="3"/>
        <v>258499.9635</v>
      </c>
    </row>
    <row r="238">
      <c r="A238" s="7">
        <v>43900.93404421296</v>
      </c>
      <c r="B238" s="18" t="s">
        <v>18</v>
      </c>
      <c r="C238" s="9"/>
      <c r="D238" s="8" t="s">
        <v>972</v>
      </c>
      <c r="E238" s="18" t="s">
        <v>973</v>
      </c>
      <c r="F238" s="8"/>
      <c r="G238" s="9"/>
      <c r="H238" s="21" t="s">
        <v>832</v>
      </c>
      <c r="I238" s="21" t="s">
        <v>24</v>
      </c>
      <c r="J238" s="11">
        <v>800000.0</v>
      </c>
      <c r="K238" s="21" t="s">
        <v>833</v>
      </c>
      <c r="L238" s="22"/>
      <c r="M238" s="10"/>
      <c r="N238" s="10"/>
      <c r="O238" s="15" t="str">
        <f t="shared" si="1"/>
        <v>Unknown</v>
      </c>
      <c r="P238" s="16" t="str">
        <f t="shared" si="2"/>
        <v>GBP</v>
      </c>
      <c r="Q238" s="15">
        <f>IFERROR(__xludf.DUMMYFUNCTION("IFNA(INDEX(GOOGLEFINANCE(""Currency:USD""&amp;$P238,""price"",DATE(YEAR($L238),MONTH($L238),DAY($L238))),2,2),LOOKUP(P238,CurrencyCodes,UnitsPerUSD))"),0.8143333168)</f>
        <v>0.8143333168</v>
      </c>
      <c r="R238" s="17">
        <f t="shared" si="3"/>
        <v>982398.7101</v>
      </c>
    </row>
    <row r="239">
      <c r="A239" s="7">
        <v>43971.47670429398</v>
      </c>
      <c r="B239" s="8" t="s">
        <v>250</v>
      </c>
      <c r="C239" s="9">
        <v>37.0</v>
      </c>
      <c r="D239" s="8" t="s">
        <v>974</v>
      </c>
      <c r="E239" s="8" t="s">
        <v>851</v>
      </c>
      <c r="F239" s="8"/>
      <c r="G239" s="9" t="s">
        <v>975</v>
      </c>
      <c r="H239" s="10" t="s">
        <v>832</v>
      </c>
      <c r="I239" s="10" t="s">
        <v>24</v>
      </c>
      <c r="J239" s="11">
        <v>0.0</v>
      </c>
      <c r="K239" s="10" t="s">
        <v>833</v>
      </c>
      <c r="L239" s="25">
        <v>43952.0</v>
      </c>
      <c r="M239" s="14" t="s">
        <v>976</v>
      </c>
      <c r="N239" s="10"/>
      <c r="O239" s="15">
        <f t="shared" si="1"/>
        <v>2020</v>
      </c>
      <c r="P239" s="16" t="str">
        <f t="shared" si="2"/>
        <v>GBP</v>
      </c>
      <c r="Q239" s="15">
        <f>IFERROR(__xludf.DUMMYFUNCTION("IFNA(INDEX(GOOGLEFINANCE(""Currency:USD""&amp;$P239,""price"",DATE(YEAR($L239),MONTH($L239),DAY($L239))),2,2),LOOKUP(P239,CurrencyCodes,UnitsPerUSD))"),0.799872)</f>
        <v>0.799872</v>
      </c>
      <c r="R239" s="17">
        <f t="shared" si="3"/>
        <v>0</v>
      </c>
    </row>
    <row r="240">
      <c r="A240" s="7">
        <v>43971.49322638889</v>
      </c>
      <c r="B240" s="8" t="s">
        <v>250</v>
      </c>
      <c r="C240" s="9">
        <v>39.0</v>
      </c>
      <c r="D240" s="8" t="s">
        <v>974</v>
      </c>
      <c r="E240" s="8" t="s">
        <v>851</v>
      </c>
      <c r="F240" s="8"/>
      <c r="G240" s="9" t="s">
        <v>975</v>
      </c>
      <c r="H240" s="10" t="s">
        <v>832</v>
      </c>
      <c r="I240" s="10" t="s">
        <v>24</v>
      </c>
      <c r="J240" s="11">
        <v>0.0</v>
      </c>
      <c r="K240" s="10" t="s">
        <v>833</v>
      </c>
      <c r="L240" s="25">
        <v>43952.0</v>
      </c>
      <c r="M240" s="14" t="s">
        <v>977</v>
      </c>
      <c r="N240" s="10"/>
      <c r="O240" s="15">
        <f t="shared" si="1"/>
        <v>2020</v>
      </c>
      <c r="P240" s="16" t="str">
        <f t="shared" si="2"/>
        <v>GBP</v>
      </c>
      <c r="Q240" s="15">
        <f>IFERROR(__xludf.DUMMYFUNCTION("IFNA(INDEX(GOOGLEFINANCE(""Currency:USD""&amp;$P240,""price"",DATE(YEAR($L240),MONTH($L240),DAY($L240))),2,2),LOOKUP(P240,CurrencyCodes,UnitsPerUSD))"),0.799872)</f>
        <v>0.799872</v>
      </c>
      <c r="R240" s="17">
        <f t="shared" si="3"/>
        <v>0</v>
      </c>
    </row>
    <row r="241">
      <c r="A241" s="7">
        <v>43971.49416988426</v>
      </c>
      <c r="B241" s="8" t="s">
        <v>250</v>
      </c>
      <c r="C241" s="9">
        <v>41.0</v>
      </c>
      <c r="D241" s="8" t="s">
        <v>974</v>
      </c>
      <c r="E241" s="8" t="s">
        <v>851</v>
      </c>
      <c r="F241" s="8"/>
      <c r="G241" s="9" t="s">
        <v>975</v>
      </c>
      <c r="H241" s="10" t="s">
        <v>832</v>
      </c>
      <c r="I241" s="10" t="s">
        <v>24</v>
      </c>
      <c r="J241" s="11">
        <v>0.0</v>
      </c>
      <c r="K241" s="10" t="s">
        <v>833</v>
      </c>
      <c r="L241" s="25">
        <v>43952.0</v>
      </c>
      <c r="M241" s="14" t="s">
        <v>978</v>
      </c>
      <c r="N241" s="10"/>
      <c r="O241" s="15">
        <f t="shared" si="1"/>
        <v>2020</v>
      </c>
      <c r="P241" s="16" t="str">
        <f t="shared" si="2"/>
        <v>GBP</v>
      </c>
      <c r="Q241" s="15">
        <f>IFERROR(__xludf.DUMMYFUNCTION("IFNA(INDEX(GOOGLEFINANCE(""Currency:USD""&amp;$P241,""price"",DATE(YEAR($L241),MONTH($L241),DAY($L241))),2,2),LOOKUP(P241,CurrencyCodes,UnitsPerUSD))"),0.799872)</f>
        <v>0.799872</v>
      </c>
      <c r="R241" s="17">
        <f t="shared" si="3"/>
        <v>0</v>
      </c>
    </row>
    <row r="242">
      <c r="A242" s="7">
        <v>43971.49485920139</v>
      </c>
      <c r="B242" s="8" t="s">
        <v>250</v>
      </c>
      <c r="C242" s="9">
        <v>43.0</v>
      </c>
      <c r="D242" s="8" t="s">
        <v>974</v>
      </c>
      <c r="E242" s="8" t="s">
        <v>851</v>
      </c>
      <c r="F242" s="8"/>
      <c r="G242" s="9" t="s">
        <v>975</v>
      </c>
      <c r="H242" s="10" t="s">
        <v>832</v>
      </c>
      <c r="I242" s="10" t="s">
        <v>24</v>
      </c>
      <c r="J242" s="11">
        <v>0.0</v>
      </c>
      <c r="K242" s="10" t="s">
        <v>833</v>
      </c>
      <c r="L242" s="25">
        <v>43952.0</v>
      </c>
      <c r="M242" s="14" t="s">
        <v>979</v>
      </c>
      <c r="N242" s="10"/>
      <c r="O242" s="15">
        <f t="shared" si="1"/>
        <v>2020</v>
      </c>
      <c r="P242" s="16" t="str">
        <f t="shared" si="2"/>
        <v>GBP</v>
      </c>
      <c r="Q242" s="15">
        <f>IFERROR(__xludf.DUMMYFUNCTION("IFNA(INDEX(GOOGLEFINANCE(""Currency:USD""&amp;$P242,""price"",DATE(YEAR($L242),MONTH($L242),DAY($L242))),2,2),LOOKUP(P242,CurrencyCodes,UnitsPerUSD))"),0.799872)</f>
        <v>0.799872</v>
      </c>
      <c r="R242" s="17">
        <f t="shared" si="3"/>
        <v>0</v>
      </c>
    </row>
    <row r="243">
      <c r="A243" s="7">
        <v>43971.47812813657</v>
      </c>
      <c r="B243" s="8" t="s">
        <v>250</v>
      </c>
      <c r="C243" s="9">
        <v>45.0</v>
      </c>
      <c r="D243" s="8" t="s">
        <v>974</v>
      </c>
      <c r="E243" s="8" t="s">
        <v>851</v>
      </c>
      <c r="F243" s="8"/>
      <c r="G243" s="9" t="s">
        <v>975</v>
      </c>
      <c r="H243" s="10" t="s">
        <v>832</v>
      </c>
      <c r="I243" s="10" t="s">
        <v>24</v>
      </c>
      <c r="J243" s="11">
        <v>0.0</v>
      </c>
      <c r="K243" s="10" t="s">
        <v>833</v>
      </c>
      <c r="L243" s="25">
        <v>43952.0</v>
      </c>
      <c r="M243" s="14" t="s">
        <v>980</v>
      </c>
      <c r="N243" s="10"/>
      <c r="O243" s="15">
        <f t="shared" si="1"/>
        <v>2020</v>
      </c>
      <c r="P243" s="16" t="str">
        <f t="shared" si="2"/>
        <v>GBP</v>
      </c>
      <c r="Q243" s="15">
        <f>IFERROR(__xludf.DUMMYFUNCTION("IFNA(INDEX(GOOGLEFINANCE(""Currency:USD""&amp;$P243,""price"",DATE(YEAR($L243),MONTH($L243),DAY($L243))),2,2),LOOKUP(P243,CurrencyCodes,UnitsPerUSD))"),0.799872)</f>
        <v>0.799872</v>
      </c>
      <c r="R243" s="17">
        <f t="shared" si="3"/>
        <v>0</v>
      </c>
    </row>
    <row r="244">
      <c r="A244" s="7">
        <v>43971.48022802084</v>
      </c>
      <c r="B244" s="8" t="s">
        <v>250</v>
      </c>
      <c r="C244" s="9">
        <v>47.0</v>
      </c>
      <c r="D244" s="8" t="s">
        <v>974</v>
      </c>
      <c r="E244" s="8" t="s">
        <v>851</v>
      </c>
      <c r="F244" s="8"/>
      <c r="G244" s="9" t="s">
        <v>975</v>
      </c>
      <c r="H244" s="10" t="s">
        <v>832</v>
      </c>
      <c r="I244" s="10" t="s">
        <v>24</v>
      </c>
      <c r="J244" s="11">
        <v>0.0</v>
      </c>
      <c r="K244" s="10" t="s">
        <v>833</v>
      </c>
      <c r="L244" s="25">
        <v>43952.0</v>
      </c>
      <c r="M244" s="14" t="s">
        <v>981</v>
      </c>
      <c r="N244" s="10"/>
      <c r="O244" s="15">
        <f t="shared" si="1"/>
        <v>2020</v>
      </c>
      <c r="P244" s="16" t="str">
        <f t="shared" si="2"/>
        <v>GBP</v>
      </c>
      <c r="Q244" s="15">
        <f>IFERROR(__xludf.DUMMYFUNCTION("IFNA(INDEX(GOOGLEFINANCE(""Currency:USD""&amp;$P244,""price"",DATE(YEAR($L244),MONTH($L244),DAY($L244))),2,2),LOOKUP(P244,CurrencyCodes,UnitsPerUSD))"),0.799872)</f>
        <v>0.799872</v>
      </c>
      <c r="R244" s="17">
        <f t="shared" si="3"/>
        <v>0</v>
      </c>
    </row>
    <row r="245">
      <c r="A245" s="7">
        <v>43971.48285753472</v>
      </c>
      <c r="B245" s="18" t="s">
        <v>250</v>
      </c>
      <c r="C245" s="19">
        <v>49.0</v>
      </c>
      <c r="D245" s="18" t="s">
        <v>974</v>
      </c>
      <c r="E245" s="18" t="s">
        <v>851</v>
      </c>
      <c r="F245" s="18"/>
      <c r="G245" s="19" t="s">
        <v>975</v>
      </c>
      <c r="H245" s="21" t="s">
        <v>832</v>
      </c>
      <c r="I245" s="21" t="s">
        <v>24</v>
      </c>
      <c r="J245" s="11">
        <v>0.0</v>
      </c>
      <c r="K245" s="21" t="s">
        <v>833</v>
      </c>
      <c r="L245" s="25">
        <v>43952.0</v>
      </c>
      <c r="M245" s="31" t="s">
        <v>982</v>
      </c>
      <c r="N245" s="10"/>
      <c r="O245" s="15">
        <f t="shared" si="1"/>
        <v>2020</v>
      </c>
      <c r="P245" s="16" t="str">
        <f t="shared" si="2"/>
        <v>GBP</v>
      </c>
      <c r="Q245" s="15">
        <f>IFERROR(__xludf.DUMMYFUNCTION("IFNA(INDEX(GOOGLEFINANCE(""Currency:USD""&amp;$P245,""price"",DATE(YEAR($L245),MONTH($L245),DAY($L245))),2,2),LOOKUP(P245,CurrencyCodes,UnitsPerUSD))"),0.799872)</f>
        <v>0.799872</v>
      </c>
      <c r="R245" s="17">
        <f t="shared" si="3"/>
        <v>0</v>
      </c>
    </row>
    <row r="246">
      <c r="A246" s="7">
        <v>43971.483904988425</v>
      </c>
      <c r="B246" s="8" t="s">
        <v>250</v>
      </c>
      <c r="C246" s="9">
        <v>51.0</v>
      </c>
      <c r="D246" s="8" t="s">
        <v>974</v>
      </c>
      <c r="E246" s="8" t="s">
        <v>851</v>
      </c>
      <c r="F246" s="8"/>
      <c r="G246" s="9" t="s">
        <v>975</v>
      </c>
      <c r="H246" s="10" t="s">
        <v>832</v>
      </c>
      <c r="I246" s="10" t="s">
        <v>24</v>
      </c>
      <c r="J246" s="11">
        <v>0.0</v>
      </c>
      <c r="K246" s="10" t="s">
        <v>833</v>
      </c>
      <c r="L246" s="25">
        <v>43952.0</v>
      </c>
      <c r="M246" s="14" t="s">
        <v>983</v>
      </c>
      <c r="N246" s="10"/>
      <c r="O246" s="15">
        <f t="shared" si="1"/>
        <v>2020</v>
      </c>
      <c r="P246" s="16" t="str">
        <f t="shared" si="2"/>
        <v>GBP</v>
      </c>
      <c r="Q246" s="15">
        <f>IFERROR(__xludf.DUMMYFUNCTION("IFNA(INDEX(GOOGLEFINANCE(""Currency:USD""&amp;$P246,""price"",DATE(YEAR($L246),MONTH($L246),DAY($L246))),2,2),LOOKUP(P246,CurrencyCodes,UnitsPerUSD))"),0.799872)</f>
        <v>0.799872</v>
      </c>
      <c r="R246" s="17">
        <f t="shared" si="3"/>
        <v>0</v>
      </c>
    </row>
    <row r="247">
      <c r="A247" s="7">
        <v>43971.485438020834</v>
      </c>
      <c r="B247" s="8" t="s">
        <v>250</v>
      </c>
      <c r="C247" s="9">
        <v>53.0</v>
      </c>
      <c r="D247" s="8" t="s">
        <v>974</v>
      </c>
      <c r="E247" s="8" t="s">
        <v>851</v>
      </c>
      <c r="F247" s="8"/>
      <c r="G247" s="9" t="s">
        <v>975</v>
      </c>
      <c r="H247" s="10" t="s">
        <v>832</v>
      </c>
      <c r="I247" s="10" t="s">
        <v>24</v>
      </c>
      <c r="J247" s="11">
        <v>0.0</v>
      </c>
      <c r="K247" s="10" t="s">
        <v>833</v>
      </c>
      <c r="L247" s="25">
        <v>43952.0</v>
      </c>
      <c r="M247" s="14" t="s">
        <v>984</v>
      </c>
      <c r="N247" s="10"/>
      <c r="O247" s="15">
        <f t="shared" si="1"/>
        <v>2020</v>
      </c>
      <c r="P247" s="16" t="str">
        <f t="shared" si="2"/>
        <v>GBP</v>
      </c>
      <c r="Q247" s="15">
        <f>IFERROR(__xludf.DUMMYFUNCTION("IFNA(INDEX(GOOGLEFINANCE(""Currency:USD""&amp;$P247,""price"",DATE(YEAR($L247),MONTH($L247),DAY($L247))),2,2),LOOKUP(P247,CurrencyCodes,UnitsPerUSD))"),0.799872)</f>
        <v>0.799872</v>
      </c>
      <c r="R247" s="17">
        <f t="shared" si="3"/>
        <v>0</v>
      </c>
    </row>
    <row r="248">
      <c r="A248" s="7">
        <v>43971.486385173615</v>
      </c>
      <c r="B248" s="8" t="s">
        <v>250</v>
      </c>
      <c r="C248" s="9">
        <v>55.0</v>
      </c>
      <c r="D248" s="8" t="s">
        <v>974</v>
      </c>
      <c r="E248" s="8" t="s">
        <v>851</v>
      </c>
      <c r="F248" s="8"/>
      <c r="G248" s="9" t="s">
        <v>975</v>
      </c>
      <c r="H248" s="10" t="s">
        <v>832</v>
      </c>
      <c r="I248" s="10" t="s">
        <v>24</v>
      </c>
      <c r="J248" s="11">
        <v>0.0</v>
      </c>
      <c r="K248" s="10" t="s">
        <v>833</v>
      </c>
      <c r="L248" s="25">
        <v>43952.0</v>
      </c>
      <c r="M248" s="14" t="s">
        <v>985</v>
      </c>
      <c r="N248" s="10"/>
      <c r="O248" s="15">
        <f t="shared" si="1"/>
        <v>2020</v>
      </c>
      <c r="P248" s="16" t="str">
        <f t="shared" si="2"/>
        <v>GBP</v>
      </c>
      <c r="Q248" s="15">
        <f>IFERROR(__xludf.DUMMYFUNCTION("IFNA(INDEX(GOOGLEFINANCE(""Currency:USD""&amp;$P248,""price"",DATE(YEAR($L248),MONTH($L248),DAY($L248))),2,2),LOOKUP(P248,CurrencyCodes,UnitsPerUSD))"),0.799872)</f>
        <v>0.799872</v>
      </c>
      <c r="R248" s="17">
        <f t="shared" si="3"/>
        <v>0</v>
      </c>
    </row>
    <row r="249">
      <c r="A249" s="7">
        <v>43971.487438958335</v>
      </c>
      <c r="B249" s="8" t="s">
        <v>250</v>
      </c>
      <c r="C249" s="9">
        <v>57.0</v>
      </c>
      <c r="D249" s="8" t="s">
        <v>974</v>
      </c>
      <c r="E249" s="8" t="s">
        <v>851</v>
      </c>
      <c r="F249" s="8"/>
      <c r="G249" s="9" t="s">
        <v>975</v>
      </c>
      <c r="H249" s="10" t="s">
        <v>832</v>
      </c>
      <c r="I249" s="10" t="s">
        <v>24</v>
      </c>
      <c r="J249" s="11">
        <v>0.0</v>
      </c>
      <c r="K249" s="10" t="s">
        <v>833</v>
      </c>
      <c r="L249" s="25">
        <v>43952.0</v>
      </c>
      <c r="M249" s="14" t="s">
        <v>986</v>
      </c>
      <c r="N249" s="10"/>
      <c r="O249" s="15">
        <f t="shared" si="1"/>
        <v>2020</v>
      </c>
      <c r="P249" s="16" t="str">
        <f t="shared" si="2"/>
        <v>GBP</v>
      </c>
      <c r="Q249" s="15">
        <f>IFERROR(__xludf.DUMMYFUNCTION("IFNA(INDEX(GOOGLEFINANCE(""Currency:USD""&amp;$P249,""price"",DATE(YEAR($L249),MONTH($L249),DAY($L249))),2,2),LOOKUP(P249,CurrencyCodes,UnitsPerUSD))"),0.799872)</f>
        <v>0.799872</v>
      </c>
      <c r="R249" s="17">
        <f t="shared" si="3"/>
        <v>0</v>
      </c>
    </row>
    <row r="250">
      <c r="A250" s="7">
        <v>43971.48835857639</v>
      </c>
      <c r="B250" s="8" t="s">
        <v>250</v>
      </c>
      <c r="C250" s="9">
        <v>59.0</v>
      </c>
      <c r="D250" s="8" t="s">
        <v>974</v>
      </c>
      <c r="E250" s="8" t="s">
        <v>851</v>
      </c>
      <c r="F250" s="8"/>
      <c r="G250" s="9" t="s">
        <v>975</v>
      </c>
      <c r="H250" s="10" t="s">
        <v>832</v>
      </c>
      <c r="I250" s="10" t="s">
        <v>24</v>
      </c>
      <c r="J250" s="11">
        <v>0.0</v>
      </c>
      <c r="K250" s="10" t="s">
        <v>833</v>
      </c>
      <c r="L250" s="25">
        <v>43952.0</v>
      </c>
      <c r="M250" s="14" t="s">
        <v>987</v>
      </c>
      <c r="N250" s="10"/>
      <c r="O250" s="15">
        <f t="shared" si="1"/>
        <v>2020</v>
      </c>
      <c r="P250" s="16" t="str">
        <f t="shared" si="2"/>
        <v>GBP</v>
      </c>
      <c r="Q250" s="15">
        <f>IFERROR(__xludf.DUMMYFUNCTION("IFNA(INDEX(GOOGLEFINANCE(""Currency:USD""&amp;$P250,""price"",DATE(YEAR($L250),MONTH($L250),DAY($L250))),2,2),LOOKUP(P250,CurrencyCodes,UnitsPerUSD))"),0.799872)</f>
        <v>0.799872</v>
      </c>
      <c r="R250" s="17">
        <f t="shared" si="3"/>
        <v>0</v>
      </c>
    </row>
    <row r="251">
      <c r="A251" s="7">
        <v>43971.48975825231</v>
      </c>
      <c r="B251" s="8" t="s">
        <v>250</v>
      </c>
      <c r="C251" s="9">
        <v>61.0</v>
      </c>
      <c r="D251" s="8" t="s">
        <v>974</v>
      </c>
      <c r="E251" s="8" t="s">
        <v>851</v>
      </c>
      <c r="F251" s="8"/>
      <c r="G251" s="9" t="s">
        <v>975</v>
      </c>
      <c r="H251" s="10" t="s">
        <v>832</v>
      </c>
      <c r="I251" s="10" t="s">
        <v>24</v>
      </c>
      <c r="J251" s="11">
        <v>0.0</v>
      </c>
      <c r="K251" s="10" t="s">
        <v>833</v>
      </c>
      <c r="L251" s="25">
        <v>43952.0</v>
      </c>
      <c r="M251" s="14" t="s">
        <v>988</v>
      </c>
      <c r="N251" s="10"/>
      <c r="O251" s="15">
        <f t="shared" si="1"/>
        <v>2020</v>
      </c>
      <c r="P251" s="16" t="str">
        <f t="shared" si="2"/>
        <v>GBP</v>
      </c>
      <c r="Q251" s="15">
        <f>IFERROR(__xludf.DUMMYFUNCTION("IFNA(INDEX(GOOGLEFINANCE(""Currency:USD""&amp;$P251,""price"",DATE(YEAR($L251),MONTH($L251),DAY($L251))),2,2),LOOKUP(P251,CurrencyCodes,UnitsPerUSD))"),0.799872)</f>
        <v>0.799872</v>
      </c>
      <c r="R251" s="17">
        <f t="shared" si="3"/>
        <v>0</v>
      </c>
    </row>
    <row r="252">
      <c r="A252" s="7">
        <v>43971.490581817125</v>
      </c>
      <c r="B252" s="8" t="s">
        <v>250</v>
      </c>
      <c r="C252" s="9">
        <v>63.0</v>
      </c>
      <c r="D252" s="8" t="s">
        <v>974</v>
      </c>
      <c r="E252" s="8" t="s">
        <v>851</v>
      </c>
      <c r="F252" s="8"/>
      <c r="G252" s="9" t="s">
        <v>975</v>
      </c>
      <c r="H252" s="10" t="s">
        <v>832</v>
      </c>
      <c r="I252" s="10" t="s">
        <v>24</v>
      </c>
      <c r="J252" s="11">
        <v>0.0</v>
      </c>
      <c r="K252" s="10" t="s">
        <v>833</v>
      </c>
      <c r="L252" s="25">
        <v>43952.0</v>
      </c>
      <c r="M252" s="14" t="s">
        <v>989</v>
      </c>
      <c r="N252" s="10"/>
      <c r="O252" s="15">
        <f t="shared" si="1"/>
        <v>2020</v>
      </c>
      <c r="P252" s="16" t="str">
        <f t="shared" si="2"/>
        <v>GBP</v>
      </c>
      <c r="Q252" s="15">
        <f>IFERROR(__xludf.DUMMYFUNCTION("IFNA(INDEX(GOOGLEFINANCE(""Currency:USD""&amp;$P252,""price"",DATE(YEAR($L252),MONTH($L252),DAY($L252))),2,2),LOOKUP(P252,CurrencyCodes,UnitsPerUSD))"),0.799872)</f>
        <v>0.799872</v>
      </c>
      <c r="R252" s="17">
        <f t="shared" si="3"/>
        <v>0</v>
      </c>
    </row>
    <row r="253">
      <c r="A253" s="7">
        <v>43971.49760318287</v>
      </c>
      <c r="B253" s="8" t="s">
        <v>250</v>
      </c>
      <c r="C253" s="9">
        <v>49.0</v>
      </c>
      <c r="D253" s="8" t="s">
        <v>990</v>
      </c>
      <c r="E253" s="8" t="s">
        <v>851</v>
      </c>
      <c r="F253" s="8"/>
      <c r="G253" s="9" t="s">
        <v>991</v>
      </c>
      <c r="H253" s="10" t="s">
        <v>832</v>
      </c>
      <c r="I253" s="10" t="s">
        <v>24</v>
      </c>
      <c r="J253" s="11">
        <v>0.0</v>
      </c>
      <c r="K253" s="10" t="s">
        <v>833</v>
      </c>
      <c r="L253" s="25">
        <v>43952.0</v>
      </c>
      <c r="M253" s="14" t="s">
        <v>992</v>
      </c>
      <c r="N253" s="10"/>
      <c r="O253" s="15">
        <f t="shared" si="1"/>
        <v>2020</v>
      </c>
      <c r="P253" s="16" t="str">
        <f t="shared" si="2"/>
        <v>GBP</v>
      </c>
      <c r="Q253" s="15">
        <f>IFERROR(__xludf.DUMMYFUNCTION("IFNA(INDEX(GOOGLEFINANCE(""Currency:USD""&amp;$P253,""price"",DATE(YEAR($L253),MONTH($L253),DAY($L253))),2,2),LOOKUP(P253,CurrencyCodes,UnitsPerUSD))"),0.799872)</f>
        <v>0.799872</v>
      </c>
      <c r="R253" s="17">
        <f t="shared" si="3"/>
        <v>0</v>
      </c>
    </row>
    <row r="254">
      <c r="A254" s="7">
        <v>43971.49847773148</v>
      </c>
      <c r="B254" s="8" t="s">
        <v>250</v>
      </c>
      <c r="C254" s="9">
        <v>51.0</v>
      </c>
      <c r="D254" s="8" t="s">
        <v>990</v>
      </c>
      <c r="E254" s="8" t="s">
        <v>851</v>
      </c>
      <c r="F254" s="8"/>
      <c r="G254" s="9" t="s">
        <v>991</v>
      </c>
      <c r="H254" s="10" t="s">
        <v>832</v>
      </c>
      <c r="I254" s="10" t="s">
        <v>24</v>
      </c>
      <c r="J254" s="11">
        <v>0.0</v>
      </c>
      <c r="K254" s="10" t="s">
        <v>833</v>
      </c>
      <c r="L254" s="25">
        <v>43952.0</v>
      </c>
      <c r="M254" s="14" t="s">
        <v>993</v>
      </c>
      <c r="N254" s="10"/>
      <c r="O254" s="15">
        <f t="shared" si="1"/>
        <v>2020</v>
      </c>
      <c r="P254" s="16" t="str">
        <f t="shared" si="2"/>
        <v>GBP</v>
      </c>
      <c r="Q254" s="15">
        <f>IFERROR(__xludf.DUMMYFUNCTION("IFNA(INDEX(GOOGLEFINANCE(""Currency:USD""&amp;$P254,""price"",DATE(YEAR($L254),MONTH($L254),DAY($L254))),2,2),LOOKUP(P254,CurrencyCodes,UnitsPerUSD))"),0.799872)</f>
        <v>0.799872</v>
      </c>
      <c r="R254" s="17">
        <f t="shared" si="3"/>
        <v>0</v>
      </c>
    </row>
    <row r="255">
      <c r="A255" s="7">
        <v>43971.500191018524</v>
      </c>
      <c r="B255" s="8" t="s">
        <v>250</v>
      </c>
      <c r="C255" s="9">
        <v>53.0</v>
      </c>
      <c r="D255" s="8" t="s">
        <v>990</v>
      </c>
      <c r="E255" s="8" t="s">
        <v>851</v>
      </c>
      <c r="F255" s="8"/>
      <c r="G255" s="9" t="s">
        <v>991</v>
      </c>
      <c r="H255" s="10" t="s">
        <v>832</v>
      </c>
      <c r="I255" s="10" t="s">
        <v>24</v>
      </c>
      <c r="J255" s="11">
        <v>0.0</v>
      </c>
      <c r="K255" s="10" t="s">
        <v>833</v>
      </c>
      <c r="L255" s="25">
        <v>43952.0</v>
      </c>
      <c r="M255" s="14" t="s">
        <v>994</v>
      </c>
      <c r="N255" s="10"/>
      <c r="O255" s="15">
        <f t="shared" si="1"/>
        <v>2020</v>
      </c>
      <c r="P255" s="16" t="str">
        <f t="shared" si="2"/>
        <v>GBP</v>
      </c>
      <c r="Q255" s="15">
        <f>IFERROR(__xludf.DUMMYFUNCTION("IFNA(INDEX(GOOGLEFINANCE(""Currency:USD""&amp;$P255,""price"",DATE(YEAR($L255),MONTH($L255),DAY($L255))),2,2),LOOKUP(P255,CurrencyCodes,UnitsPerUSD))"),0.799872)</f>
        <v>0.799872</v>
      </c>
      <c r="R255" s="17">
        <f t="shared" si="3"/>
        <v>0</v>
      </c>
    </row>
    <row r="256">
      <c r="A256" s="7">
        <v>43971.49948017361</v>
      </c>
      <c r="B256" s="8" t="s">
        <v>250</v>
      </c>
      <c r="C256" s="9">
        <v>55.0</v>
      </c>
      <c r="D256" s="8" t="s">
        <v>990</v>
      </c>
      <c r="E256" s="8" t="s">
        <v>851</v>
      </c>
      <c r="F256" s="8"/>
      <c r="G256" s="9" t="s">
        <v>991</v>
      </c>
      <c r="H256" s="10" t="s">
        <v>832</v>
      </c>
      <c r="I256" s="10" t="s">
        <v>24</v>
      </c>
      <c r="J256" s="11">
        <v>0.0</v>
      </c>
      <c r="K256" s="10" t="s">
        <v>833</v>
      </c>
      <c r="L256" s="25">
        <v>43952.0</v>
      </c>
      <c r="M256" s="14" t="s">
        <v>995</v>
      </c>
      <c r="N256" s="10"/>
      <c r="O256" s="15">
        <f t="shared" si="1"/>
        <v>2020</v>
      </c>
      <c r="P256" s="16" t="str">
        <f t="shared" si="2"/>
        <v>GBP</v>
      </c>
      <c r="Q256" s="15">
        <f>IFERROR(__xludf.DUMMYFUNCTION("IFNA(INDEX(GOOGLEFINANCE(""Currency:USD""&amp;$P256,""price"",DATE(YEAR($L256),MONTH($L256),DAY($L256))),2,2),LOOKUP(P256,CurrencyCodes,UnitsPerUSD))"),0.799872)</f>
        <v>0.799872</v>
      </c>
      <c r="R256" s="17">
        <f t="shared" si="3"/>
        <v>0</v>
      </c>
    </row>
    <row r="257">
      <c r="A257" s="7">
        <v>43911.47677451389</v>
      </c>
      <c r="B257" s="18" t="s">
        <v>250</v>
      </c>
      <c r="C257" s="19">
        <v>7.0</v>
      </c>
      <c r="D257" s="18" t="s">
        <v>996</v>
      </c>
      <c r="E257" s="18" t="s">
        <v>851</v>
      </c>
      <c r="F257" s="18"/>
      <c r="G257" s="19" t="s">
        <v>997</v>
      </c>
      <c r="H257" s="21" t="s">
        <v>832</v>
      </c>
      <c r="I257" s="21" t="s">
        <v>24</v>
      </c>
      <c r="J257" s="11">
        <v>70000.0</v>
      </c>
      <c r="K257" s="21" t="s">
        <v>833</v>
      </c>
      <c r="L257" s="25">
        <v>43911.0</v>
      </c>
      <c r="M257" s="24" t="s">
        <v>998</v>
      </c>
      <c r="N257" s="12" t="s">
        <v>999</v>
      </c>
      <c r="O257" s="15">
        <f t="shared" si="1"/>
        <v>2020</v>
      </c>
      <c r="P257" s="16" t="str">
        <f t="shared" si="2"/>
        <v>GBP</v>
      </c>
      <c r="Q257" s="15">
        <f>IFERROR(__xludf.DUMMYFUNCTION("IFNA(INDEX(GOOGLEFINANCE(""Currency:USD""&amp;$P257,""price"",DATE(YEAR($L257),MONTH($L257),DAY($L257))),2,2),LOOKUP(P257,CurrencyCodes,UnitsPerUSD))"),0.8583691)</f>
        <v>0.8583691</v>
      </c>
      <c r="R257" s="17">
        <f t="shared" si="3"/>
        <v>81549.99988</v>
      </c>
    </row>
    <row r="258">
      <c r="A258" s="7">
        <v>43911.480233842594</v>
      </c>
      <c r="B258" s="18" t="s">
        <v>250</v>
      </c>
      <c r="C258" s="19">
        <v>12.0</v>
      </c>
      <c r="D258" s="18" t="s">
        <v>996</v>
      </c>
      <c r="E258" s="18" t="s">
        <v>851</v>
      </c>
      <c r="F258" s="18"/>
      <c r="G258" s="19" t="s">
        <v>997</v>
      </c>
      <c r="H258" s="21" t="s">
        <v>832</v>
      </c>
      <c r="I258" s="21" t="s">
        <v>24</v>
      </c>
      <c r="J258" s="11">
        <v>70000.0</v>
      </c>
      <c r="K258" s="21" t="s">
        <v>833</v>
      </c>
      <c r="L258" s="25">
        <v>43911.0</v>
      </c>
      <c r="M258" s="24" t="s">
        <v>1000</v>
      </c>
      <c r="N258" s="27" t="s">
        <v>999</v>
      </c>
      <c r="O258" s="15">
        <f t="shared" si="1"/>
        <v>2020</v>
      </c>
      <c r="P258" s="16" t="str">
        <f t="shared" si="2"/>
        <v>GBP</v>
      </c>
      <c r="Q258" s="15">
        <f>IFERROR(__xludf.DUMMYFUNCTION("IFNA(INDEX(GOOGLEFINANCE(""Currency:USD""&amp;$P258,""price"",DATE(YEAR($L258),MONTH($L258),DAY($L258))),2,2),LOOKUP(P258,CurrencyCodes,UnitsPerUSD))"),0.8583691)</f>
        <v>0.8583691</v>
      </c>
      <c r="R258" s="17">
        <f t="shared" si="3"/>
        <v>81549.99988</v>
      </c>
    </row>
    <row r="259">
      <c r="A259" s="7">
        <v>43911.4819546412</v>
      </c>
      <c r="B259" s="8" t="s">
        <v>250</v>
      </c>
      <c r="C259" s="9">
        <v>14.0</v>
      </c>
      <c r="D259" s="8" t="s">
        <v>996</v>
      </c>
      <c r="E259" s="8" t="s">
        <v>851</v>
      </c>
      <c r="F259" s="8"/>
      <c r="G259" s="9" t="s">
        <v>997</v>
      </c>
      <c r="H259" s="10" t="s">
        <v>832</v>
      </c>
      <c r="I259" s="10" t="s">
        <v>24</v>
      </c>
      <c r="J259" s="11">
        <v>150000.0</v>
      </c>
      <c r="K259" s="10" t="s">
        <v>833</v>
      </c>
      <c r="L259" s="25">
        <v>43911.0</v>
      </c>
      <c r="M259" s="28" t="s">
        <v>1001</v>
      </c>
      <c r="N259" s="12" t="s">
        <v>999</v>
      </c>
      <c r="O259" s="15">
        <f t="shared" si="1"/>
        <v>2020</v>
      </c>
      <c r="P259" s="16" t="str">
        <f t="shared" si="2"/>
        <v>GBP</v>
      </c>
      <c r="Q259" s="15">
        <f>IFERROR(__xludf.DUMMYFUNCTION("IFNA(INDEX(GOOGLEFINANCE(""Currency:USD""&amp;$P259,""price"",DATE(YEAR($L259),MONTH($L259),DAY($L259))),2,2),LOOKUP(P259,CurrencyCodes,UnitsPerUSD))"),0.8583691)</f>
        <v>0.8583691</v>
      </c>
      <c r="R259" s="17">
        <f t="shared" si="3"/>
        <v>174749.9997</v>
      </c>
    </row>
    <row r="260">
      <c r="A260" s="7">
        <v>43911.47495412037</v>
      </c>
      <c r="B260" s="18" t="s">
        <v>250</v>
      </c>
      <c r="C260" s="9">
        <v>21.0</v>
      </c>
      <c r="D260" s="18" t="s">
        <v>996</v>
      </c>
      <c r="E260" s="18" t="s">
        <v>851</v>
      </c>
      <c r="F260" s="18"/>
      <c r="G260" s="19" t="s">
        <v>997</v>
      </c>
      <c r="H260" s="21" t="s">
        <v>832</v>
      </c>
      <c r="I260" s="21" t="s">
        <v>39</v>
      </c>
      <c r="J260" s="11">
        <v>80000.0</v>
      </c>
      <c r="K260" s="21" t="s">
        <v>833</v>
      </c>
      <c r="L260" s="25">
        <v>43911.0</v>
      </c>
      <c r="M260" s="24" t="s">
        <v>1002</v>
      </c>
      <c r="N260" s="27" t="s">
        <v>999</v>
      </c>
      <c r="O260" s="15">
        <f t="shared" si="1"/>
        <v>2020</v>
      </c>
      <c r="P260" s="16" t="str">
        <f t="shared" si="2"/>
        <v>GBP</v>
      </c>
      <c r="Q260" s="15">
        <f>IFERROR(__xludf.DUMMYFUNCTION("IFNA(INDEX(GOOGLEFINANCE(""Currency:USD""&amp;$P260,""price"",DATE(YEAR($L260),MONTH($L260),DAY($L260))),2,2),LOOKUP(P260,CurrencyCodes,UnitsPerUSD))"),0.8583691)</f>
        <v>0.8583691</v>
      </c>
      <c r="R260" s="17">
        <f t="shared" si="3"/>
        <v>93199.99986</v>
      </c>
    </row>
    <row r="261">
      <c r="A261" s="7">
        <v>43897.680973807874</v>
      </c>
      <c r="B261" s="18" t="s">
        <v>18</v>
      </c>
      <c r="C261" s="19"/>
      <c r="D261" s="18" t="s">
        <v>1003</v>
      </c>
      <c r="E261" s="18" t="s">
        <v>1004</v>
      </c>
      <c r="F261" s="18"/>
      <c r="G261" s="19"/>
      <c r="H261" s="21" t="s">
        <v>832</v>
      </c>
      <c r="I261" s="21" t="s">
        <v>39</v>
      </c>
      <c r="J261" s="11">
        <v>100000.0</v>
      </c>
      <c r="K261" s="21" t="s">
        <v>833</v>
      </c>
      <c r="L261" s="25">
        <v>43522.0</v>
      </c>
      <c r="M261" s="24" t="s">
        <v>1005</v>
      </c>
      <c r="N261" s="27" t="s">
        <v>1006</v>
      </c>
      <c r="O261" s="15">
        <f t="shared" si="1"/>
        <v>2019</v>
      </c>
      <c r="P261" s="16" t="str">
        <f t="shared" si="2"/>
        <v>GBP</v>
      </c>
      <c r="Q261" s="15">
        <f>IFERROR(__xludf.DUMMYFUNCTION("IFNA(INDEX(GOOGLEFINANCE(""Currency:USD""&amp;$P261,""price"",DATE(YEAR($L261),MONTH($L261),DAY($L261))),2,2),LOOKUP(P261,CurrencyCodes,UnitsPerUSD))"),0.75426)</f>
        <v>0.75426</v>
      </c>
      <c r="R261" s="17">
        <f t="shared" si="3"/>
        <v>132580.2774</v>
      </c>
    </row>
    <row r="262">
      <c r="A262" s="7">
        <v>43897.716842106485</v>
      </c>
      <c r="B262" s="8" t="s">
        <v>18</v>
      </c>
      <c r="C262" s="9"/>
      <c r="D262" s="8"/>
      <c r="E262" s="8" t="s">
        <v>1007</v>
      </c>
      <c r="F262" s="8"/>
      <c r="G262" s="9"/>
      <c r="H262" s="10" t="s">
        <v>832</v>
      </c>
      <c r="I262" s="10" t="s">
        <v>39</v>
      </c>
      <c r="J262" s="11">
        <v>0.0</v>
      </c>
      <c r="K262" s="10" t="s">
        <v>833</v>
      </c>
      <c r="L262" s="22"/>
      <c r="M262" s="10"/>
      <c r="N262" s="10"/>
      <c r="O262" s="15" t="str">
        <f t="shared" si="1"/>
        <v>Unknown</v>
      </c>
      <c r="P262" s="16" t="str">
        <f t="shared" si="2"/>
        <v>GBP</v>
      </c>
      <c r="Q262" s="15">
        <f>IFERROR(__xludf.DUMMYFUNCTION("IFNA(INDEX(GOOGLEFINANCE(""Currency:USD""&amp;$P262,""price"",DATE(YEAR($L262),MONTH($L262),DAY($L262))),2,2),LOOKUP(P262,CurrencyCodes,UnitsPerUSD))"),0.8143333168)</f>
        <v>0.8143333168</v>
      </c>
      <c r="R262" s="17">
        <f t="shared" si="3"/>
        <v>0</v>
      </c>
    </row>
    <row r="263">
      <c r="A263" s="7">
        <v>43919.53668636574</v>
      </c>
      <c r="B263" s="18" t="s">
        <v>18</v>
      </c>
      <c r="C263" s="19">
        <v>37.0</v>
      </c>
      <c r="D263" s="18" t="s">
        <v>1008</v>
      </c>
      <c r="E263" s="18" t="s">
        <v>1009</v>
      </c>
      <c r="F263" s="18"/>
      <c r="G263" s="19"/>
      <c r="H263" s="21" t="s">
        <v>832</v>
      </c>
      <c r="I263" s="21" t="s">
        <v>39</v>
      </c>
      <c r="J263" s="11">
        <v>325000.0</v>
      </c>
      <c r="K263" s="21" t="s">
        <v>833</v>
      </c>
      <c r="L263" s="25">
        <v>43101.0</v>
      </c>
      <c r="M263" s="24" t="s">
        <v>1010</v>
      </c>
      <c r="N263" s="12" t="s">
        <v>1011</v>
      </c>
      <c r="O263" s="15">
        <f t="shared" si="1"/>
        <v>2018</v>
      </c>
      <c r="P263" s="16" t="str">
        <f t="shared" si="2"/>
        <v>GBP</v>
      </c>
      <c r="Q263" s="15">
        <f>IFERROR(__xludf.DUMMYFUNCTION("IFNA(INDEX(GOOGLEFINANCE(""Currency:USD""&amp;$P263,""price"",DATE(YEAR($L263),MONTH($L263),DAY($L263))),2,2),LOOKUP(P263,CurrencyCodes,UnitsPerUSD))"),0.74012)</f>
        <v>0.74012</v>
      </c>
      <c r="R263" s="17">
        <f t="shared" si="3"/>
        <v>439117.9809</v>
      </c>
    </row>
    <row r="264">
      <c r="A264" s="7">
        <v>43898.49602186342</v>
      </c>
      <c r="B264" s="8" t="s">
        <v>18</v>
      </c>
      <c r="C264" s="9">
        <v>159.0</v>
      </c>
      <c r="D264" s="8" t="s">
        <v>1012</v>
      </c>
      <c r="E264" s="35" t="s">
        <v>1013</v>
      </c>
      <c r="F264" s="8"/>
      <c r="G264" s="9"/>
      <c r="H264" s="10" t="s">
        <v>832</v>
      </c>
      <c r="I264" s="10" t="s">
        <v>39</v>
      </c>
      <c r="J264" s="11">
        <v>100000.0</v>
      </c>
      <c r="K264" s="10" t="s">
        <v>833</v>
      </c>
      <c r="L264" s="22"/>
      <c r="M264" s="10"/>
      <c r="N264" s="10" t="s">
        <v>1014</v>
      </c>
      <c r="O264" s="15" t="str">
        <f t="shared" si="1"/>
        <v>Unknown</v>
      </c>
      <c r="P264" s="16" t="str">
        <f t="shared" si="2"/>
        <v>GBP</v>
      </c>
      <c r="Q264" s="15">
        <f>IFERROR(__xludf.DUMMYFUNCTION("IFNA(INDEX(GOOGLEFINANCE(""Currency:USD""&amp;$P264,""price"",DATE(YEAR($L264),MONTH($L264),DAY($L264))),2,2),LOOKUP(P264,CurrencyCodes,UnitsPerUSD))"),0.8143333168)</f>
        <v>0.8143333168</v>
      </c>
      <c r="R264" s="17">
        <f t="shared" si="3"/>
        <v>122799.8388</v>
      </c>
    </row>
    <row r="265">
      <c r="A265" s="7">
        <v>43995.73236041667</v>
      </c>
      <c r="B265" s="18" t="s">
        <v>18</v>
      </c>
      <c r="C265" s="19">
        <v>77.0</v>
      </c>
      <c r="D265" s="18" t="s">
        <v>1015</v>
      </c>
      <c r="E265" s="18" t="s">
        <v>1016</v>
      </c>
      <c r="F265" s="18"/>
      <c r="G265" s="19" t="s">
        <v>1017</v>
      </c>
      <c r="H265" s="21" t="s">
        <v>832</v>
      </c>
      <c r="I265" s="21" t="s">
        <v>39</v>
      </c>
      <c r="J265" s="11">
        <v>200000.0</v>
      </c>
      <c r="K265" s="21" t="s">
        <v>833</v>
      </c>
      <c r="L265" s="25">
        <v>43420.0</v>
      </c>
      <c r="M265" s="31" t="s">
        <v>1018</v>
      </c>
      <c r="N265" s="21"/>
      <c r="O265" s="15">
        <f t="shared" si="1"/>
        <v>2018</v>
      </c>
      <c r="P265" s="16" t="str">
        <f t="shared" si="2"/>
        <v>GBP</v>
      </c>
      <c r="Q265" s="15">
        <f>IFERROR(__xludf.DUMMYFUNCTION("IFNA(INDEX(GOOGLEFINANCE(""Currency:USD""&amp;$P265,""price"",DATE(YEAR($L265),MONTH($L265),DAY($L265))),2,2),LOOKUP(P265,CurrencyCodes,UnitsPerUSD))"),0.77876)</f>
        <v>0.77876</v>
      </c>
      <c r="R265" s="17">
        <f t="shared" si="3"/>
        <v>256818.532</v>
      </c>
    </row>
    <row r="266">
      <c r="A266" s="7">
        <v>43909.9139700463</v>
      </c>
      <c r="B266" s="18" t="s">
        <v>18</v>
      </c>
      <c r="C266" s="19"/>
      <c r="D266" s="18" t="s">
        <v>1019</v>
      </c>
      <c r="E266" s="18" t="s">
        <v>1020</v>
      </c>
      <c r="F266" s="18"/>
      <c r="G266" s="19" t="s">
        <v>1021</v>
      </c>
      <c r="H266" s="21" t="s">
        <v>832</v>
      </c>
      <c r="I266" s="21" t="s">
        <v>39</v>
      </c>
      <c r="J266" s="11">
        <v>177500.0</v>
      </c>
      <c r="K266" s="21" t="s">
        <v>833</v>
      </c>
      <c r="L266" s="25">
        <v>43511.0</v>
      </c>
      <c r="M266" s="24" t="s">
        <v>1022</v>
      </c>
      <c r="N266" s="27" t="s">
        <v>1023</v>
      </c>
      <c r="O266" s="15">
        <f t="shared" si="1"/>
        <v>2019</v>
      </c>
      <c r="P266" s="16" t="str">
        <f t="shared" si="2"/>
        <v>GBP</v>
      </c>
      <c r="Q266" s="15">
        <f>IFERROR(__xludf.DUMMYFUNCTION("IFNA(INDEX(GOOGLEFINANCE(""Currency:USD""&amp;$P266,""price"",DATE(YEAR($L266),MONTH($L266),DAY($L266))),2,2),LOOKUP(P266,CurrencyCodes,UnitsPerUSD))"),0.77537)</f>
        <v>0.77537</v>
      </c>
      <c r="R266" s="17">
        <f t="shared" si="3"/>
        <v>228922.9658</v>
      </c>
    </row>
    <row r="267">
      <c r="A267" s="7">
        <v>43905.915267268516</v>
      </c>
      <c r="B267" s="18" t="s">
        <v>18</v>
      </c>
      <c r="C267" s="19">
        <v>8.0</v>
      </c>
      <c r="D267" s="18" t="s">
        <v>1024</v>
      </c>
      <c r="E267" s="18" t="s">
        <v>1025</v>
      </c>
      <c r="F267" s="18"/>
      <c r="G267" s="19" t="s">
        <v>1026</v>
      </c>
      <c r="H267" s="21" t="s">
        <v>832</v>
      </c>
      <c r="I267" s="21" t="s">
        <v>24</v>
      </c>
      <c r="J267" s="11">
        <v>175000.0</v>
      </c>
      <c r="K267" s="21" t="s">
        <v>833</v>
      </c>
      <c r="L267" s="22"/>
      <c r="M267" s="31" t="s">
        <v>1027</v>
      </c>
      <c r="N267" s="10"/>
      <c r="O267" s="15" t="str">
        <f t="shared" si="1"/>
        <v>Unknown</v>
      </c>
      <c r="P267" s="16" t="str">
        <f t="shared" si="2"/>
        <v>GBP</v>
      </c>
      <c r="Q267" s="15">
        <f>IFERROR(__xludf.DUMMYFUNCTION("IFNA(INDEX(GOOGLEFINANCE(""Currency:USD""&amp;$P267,""price"",DATE(YEAR($L267),MONTH($L267),DAY($L267))),2,2),LOOKUP(P267,CurrencyCodes,UnitsPerUSD))"),0.8143333168)</f>
        <v>0.8143333168</v>
      </c>
      <c r="R267" s="17">
        <f t="shared" si="3"/>
        <v>214899.7178</v>
      </c>
    </row>
    <row r="268">
      <c r="A268" s="7">
        <v>43995.742301817125</v>
      </c>
      <c r="B268" s="18" t="s">
        <v>18</v>
      </c>
      <c r="C268" s="19" t="s">
        <v>1028</v>
      </c>
      <c r="D268" s="18" t="s">
        <v>1029</v>
      </c>
      <c r="E268" s="20" t="s">
        <v>1030</v>
      </c>
      <c r="F268" s="18"/>
      <c r="G268" s="19" t="s">
        <v>1031</v>
      </c>
      <c r="H268" s="21" t="s">
        <v>832</v>
      </c>
      <c r="I268" s="21" t="s">
        <v>39</v>
      </c>
      <c r="J268" s="11">
        <v>1100000.0</v>
      </c>
      <c r="K268" s="21" t="s">
        <v>833</v>
      </c>
      <c r="L268" s="25">
        <v>43375.0</v>
      </c>
      <c r="M268" s="24" t="s">
        <v>1032</v>
      </c>
      <c r="N268" s="12" t="s">
        <v>1033</v>
      </c>
      <c r="O268" s="15">
        <f t="shared" si="1"/>
        <v>2018</v>
      </c>
      <c r="P268" s="16" t="str">
        <f t="shared" si="2"/>
        <v>GBP</v>
      </c>
      <c r="Q268" s="15">
        <f>IFERROR(__xludf.DUMMYFUNCTION("IFNA(INDEX(GOOGLEFINANCE(""Currency:USD""&amp;$P268,""price"",DATE(YEAR($L268),MONTH($L268),DAY($L268))),2,2),LOOKUP(P268,CurrencyCodes,UnitsPerUSD))"),0.7703)</f>
        <v>0.7703</v>
      </c>
      <c r="R268" s="17">
        <f t="shared" si="3"/>
        <v>1428015.059</v>
      </c>
    </row>
    <row r="269">
      <c r="A269" s="7">
        <v>43902.012978796294</v>
      </c>
      <c r="B269" s="8" t="s">
        <v>18</v>
      </c>
      <c r="C269" s="9"/>
      <c r="D269" s="8" t="s">
        <v>1034</v>
      </c>
      <c r="E269" s="8" t="s">
        <v>1035</v>
      </c>
      <c r="F269" s="8"/>
      <c r="G269" s="9" t="s">
        <v>1036</v>
      </c>
      <c r="H269" s="10" t="s">
        <v>832</v>
      </c>
      <c r="I269" s="10" t="s">
        <v>24</v>
      </c>
      <c r="J269" s="11">
        <v>120000.0</v>
      </c>
      <c r="K269" s="10" t="s">
        <v>833</v>
      </c>
      <c r="L269" s="22"/>
      <c r="M269" s="14" t="s">
        <v>1037</v>
      </c>
      <c r="N269" s="10"/>
      <c r="O269" s="15" t="str">
        <f t="shared" si="1"/>
        <v>Unknown</v>
      </c>
      <c r="P269" s="16" t="str">
        <f t="shared" si="2"/>
        <v>GBP</v>
      </c>
      <c r="Q269" s="15">
        <f>IFERROR(__xludf.DUMMYFUNCTION("IFNA(INDEX(GOOGLEFINANCE(""Currency:USD""&amp;$P269,""price"",DATE(YEAR($L269),MONTH($L269),DAY($L269))),2,2),LOOKUP(P269,CurrencyCodes,UnitsPerUSD))"),0.8143333168)</f>
        <v>0.8143333168</v>
      </c>
      <c r="R269" s="17">
        <f t="shared" si="3"/>
        <v>147359.8065</v>
      </c>
    </row>
    <row r="270">
      <c r="A270" s="7">
        <v>43911.43319914352</v>
      </c>
      <c r="B270" s="8" t="s">
        <v>250</v>
      </c>
      <c r="C270" s="9"/>
      <c r="D270" s="8" t="s">
        <v>1038</v>
      </c>
      <c r="E270" s="8" t="s">
        <v>886</v>
      </c>
      <c r="F270" s="8"/>
      <c r="G270" s="9"/>
      <c r="H270" s="10" t="s">
        <v>832</v>
      </c>
      <c r="I270" s="10" t="s">
        <v>24</v>
      </c>
      <c r="J270" s="11">
        <v>999995.0</v>
      </c>
      <c r="K270" s="10" t="s">
        <v>833</v>
      </c>
      <c r="L270" s="25">
        <v>43911.0</v>
      </c>
      <c r="M270" s="28" t="s">
        <v>1039</v>
      </c>
      <c r="N270" s="10" t="s">
        <v>1040</v>
      </c>
      <c r="O270" s="15">
        <f t="shared" si="1"/>
        <v>2020</v>
      </c>
      <c r="P270" s="16" t="str">
        <f t="shared" si="2"/>
        <v>GBP</v>
      </c>
      <c r="Q270" s="15">
        <f>IFERROR(__xludf.DUMMYFUNCTION("IFNA(INDEX(GOOGLEFINANCE(""Currency:USD""&amp;$P270,""price"",DATE(YEAR($L270),MONTH($L270),DAY($L270))),2,2),LOOKUP(P270,CurrencyCodes,UnitsPerUSD))"),0.8583691)</f>
        <v>0.8583691</v>
      </c>
      <c r="R270" s="17">
        <f t="shared" si="3"/>
        <v>1164994.173</v>
      </c>
    </row>
    <row r="271">
      <c r="A271" s="7">
        <v>43911.44697888889</v>
      </c>
      <c r="B271" s="8" t="s">
        <v>250</v>
      </c>
      <c r="C271" s="9"/>
      <c r="D271" s="8" t="s">
        <v>1041</v>
      </c>
      <c r="E271" s="8" t="s">
        <v>886</v>
      </c>
      <c r="F271" s="8"/>
      <c r="G271" s="9"/>
      <c r="H271" s="10" t="s">
        <v>832</v>
      </c>
      <c r="I271" s="10" t="s">
        <v>24</v>
      </c>
      <c r="J271" s="11">
        <v>999995.0</v>
      </c>
      <c r="K271" s="10" t="s">
        <v>833</v>
      </c>
      <c r="L271" s="25">
        <v>43911.0</v>
      </c>
      <c r="M271" s="28" t="s">
        <v>1042</v>
      </c>
      <c r="N271" s="10" t="s">
        <v>965</v>
      </c>
      <c r="O271" s="15">
        <f t="shared" si="1"/>
        <v>2020</v>
      </c>
      <c r="P271" s="16" t="str">
        <f t="shared" si="2"/>
        <v>GBP</v>
      </c>
      <c r="Q271" s="15">
        <f>IFERROR(__xludf.DUMMYFUNCTION("IFNA(INDEX(GOOGLEFINANCE(""Currency:USD""&amp;$P271,""price"",DATE(YEAR($L271),MONTH($L271),DAY($L271))),2,2),LOOKUP(P271,CurrencyCodes,UnitsPerUSD))"),0.8583691)</f>
        <v>0.8583691</v>
      </c>
      <c r="R271" s="17">
        <f t="shared" si="3"/>
        <v>1164994.173</v>
      </c>
    </row>
    <row r="272">
      <c r="A272" s="7">
        <v>43911.43600524306</v>
      </c>
      <c r="B272" s="8" t="s">
        <v>250</v>
      </c>
      <c r="C272" s="9"/>
      <c r="D272" s="8" t="s">
        <v>1043</v>
      </c>
      <c r="E272" s="8" t="s">
        <v>886</v>
      </c>
      <c r="F272" s="8"/>
      <c r="G272" s="9"/>
      <c r="H272" s="10" t="s">
        <v>832</v>
      </c>
      <c r="I272" s="10" t="s">
        <v>24</v>
      </c>
      <c r="J272" s="11">
        <v>999995.0</v>
      </c>
      <c r="K272" s="10" t="s">
        <v>833</v>
      </c>
      <c r="L272" s="25">
        <v>43911.0</v>
      </c>
      <c r="M272" s="28" t="s">
        <v>1044</v>
      </c>
      <c r="N272" s="10" t="s">
        <v>965</v>
      </c>
      <c r="O272" s="15">
        <f t="shared" si="1"/>
        <v>2020</v>
      </c>
      <c r="P272" s="16" t="str">
        <f t="shared" si="2"/>
        <v>GBP</v>
      </c>
      <c r="Q272" s="15">
        <f>IFERROR(__xludf.DUMMYFUNCTION("IFNA(INDEX(GOOGLEFINANCE(""Currency:USD""&amp;$P272,""price"",DATE(YEAR($L272),MONTH($L272),DAY($L272))),2,2),LOOKUP(P272,CurrencyCodes,UnitsPerUSD))"),0.8583691)</f>
        <v>0.8583691</v>
      </c>
      <c r="R272" s="17">
        <f t="shared" si="3"/>
        <v>1164994.173</v>
      </c>
    </row>
    <row r="273">
      <c r="A273" s="7">
        <v>43911.448775439814</v>
      </c>
      <c r="B273" s="8" t="s">
        <v>250</v>
      </c>
      <c r="C273" s="9"/>
      <c r="D273" s="8" t="s">
        <v>1045</v>
      </c>
      <c r="E273" s="8" t="s">
        <v>886</v>
      </c>
      <c r="F273" s="8"/>
      <c r="G273" s="9"/>
      <c r="H273" s="10" t="s">
        <v>832</v>
      </c>
      <c r="I273" s="10" t="s">
        <v>24</v>
      </c>
      <c r="J273" s="11">
        <v>1450000.0</v>
      </c>
      <c r="K273" s="10" t="s">
        <v>833</v>
      </c>
      <c r="L273" s="25">
        <v>43911.0</v>
      </c>
      <c r="M273" s="28" t="s">
        <v>1046</v>
      </c>
      <c r="N273" s="10" t="s">
        <v>965</v>
      </c>
      <c r="O273" s="15">
        <f t="shared" si="1"/>
        <v>2020</v>
      </c>
      <c r="P273" s="16" t="str">
        <f t="shared" si="2"/>
        <v>GBP</v>
      </c>
      <c r="Q273" s="15">
        <f>IFERROR(__xludf.DUMMYFUNCTION("IFNA(INDEX(GOOGLEFINANCE(""Currency:USD""&amp;$P273,""price"",DATE(YEAR($L273),MONTH($L273),DAY($L273))),2,2),LOOKUP(P273,CurrencyCodes,UnitsPerUSD))"),0.8583691)</f>
        <v>0.8583691</v>
      </c>
      <c r="R273" s="17">
        <f t="shared" si="3"/>
        <v>1689249.997</v>
      </c>
    </row>
    <row r="274">
      <c r="A274" s="7">
        <v>43911.4379715625</v>
      </c>
      <c r="B274" s="8" t="s">
        <v>250</v>
      </c>
      <c r="C274" s="9"/>
      <c r="D274" s="8" t="s">
        <v>1047</v>
      </c>
      <c r="E274" s="8" t="s">
        <v>886</v>
      </c>
      <c r="F274" s="8"/>
      <c r="G274" s="9"/>
      <c r="H274" s="10" t="s">
        <v>832</v>
      </c>
      <c r="I274" s="10" t="s">
        <v>24</v>
      </c>
      <c r="J274" s="11">
        <v>1250000.0</v>
      </c>
      <c r="K274" s="10" t="s">
        <v>833</v>
      </c>
      <c r="L274" s="25">
        <v>43911.0</v>
      </c>
      <c r="M274" s="28" t="s">
        <v>1048</v>
      </c>
      <c r="N274" s="10" t="s">
        <v>965</v>
      </c>
      <c r="O274" s="15">
        <f t="shared" si="1"/>
        <v>2020</v>
      </c>
      <c r="P274" s="16" t="str">
        <f t="shared" si="2"/>
        <v>GBP</v>
      </c>
      <c r="Q274" s="15">
        <f>IFERROR(__xludf.DUMMYFUNCTION("IFNA(INDEX(GOOGLEFINANCE(""Currency:USD""&amp;$P274,""price"",DATE(YEAR($L274),MONTH($L274),DAY($L274))),2,2),LOOKUP(P274,CurrencyCodes,UnitsPerUSD))"),0.8583691)</f>
        <v>0.8583691</v>
      </c>
      <c r="R274" s="17">
        <f t="shared" si="3"/>
        <v>1456249.998</v>
      </c>
    </row>
    <row r="275">
      <c r="A275" s="7">
        <v>43911.450646620375</v>
      </c>
      <c r="B275" s="18" t="s">
        <v>250</v>
      </c>
      <c r="C275" s="9"/>
      <c r="D275" s="8" t="s">
        <v>1049</v>
      </c>
      <c r="E275" s="18" t="s">
        <v>886</v>
      </c>
      <c r="F275" s="8"/>
      <c r="G275" s="19"/>
      <c r="H275" s="21" t="s">
        <v>832</v>
      </c>
      <c r="I275" s="21" t="s">
        <v>24</v>
      </c>
      <c r="J275" s="11">
        <v>1450000.0</v>
      </c>
      <c r="K275" s="21" t="s">
        <v>833</v>
      </c>
      <c r="L275" s="25">
        <v>43911.0</v>
      </c>
      <c r="M275" s="28" t="s">
        <v>1050</v>
      </c>
      <c r="N275" s="10" t="s">
        <v>965</v>
      </c>
      <c r="O275" s="15">
        <f t="shared" si="1"/>
        <v>2020</v>
      </c>
      <c r="P275" s="16" t="str">
        <f t="shared" si="2"/>
        <v>GBP</v>
      </c>
      <c r="Q275" s="15">
        <f>IFERROR(__xludf.DUMMYFUNCTION("IFNA(INDEX(GOOGLEFINANCE(""Currency:USD""&amp;$P275,""price"",DATE(YEAR($L275),MONTH($L275),DAY($L275))),2,2),LOOKUP(P275,CurrencyCodes,UnitsPerUSD))"),0.8583691)</f>
        <v>0.8583691</v>
      </c>
      <c r="R275" s="17">
        <f t="shared" si="3"/>
        <v>1689249.997</v>
      </c>
    </row>
    <row r="276">
      <c r="A276" s="7">
        <v>43911.43970453704</v>
      </c>
      <c r="B276" s="8" t="s">
        <v>250</v>
      </c>
      <c r="C276" s="9"/>
      <c r="D276" s="8" t="s">
        <v>1051</v>
      </c>
      <c r="E276" s="8" t="s">
        <v>886</v>
      </c>
      <c r="F276" s="8"/>
      <c r="G276" s="9"/>
      <c r="H276" s="10" t="s">
        <v>832</v>
      </c>
      <c r="I276" s="10" t="s">
        <v>24</v>
      </c>
      <c r="J276" s="11">
        <v>1250000.0</v>
      </c>
      <c r="K276" s="10" t="s">
        <v>833</v>
      </c>
      <c r="L276" s="25">
        <v>43911.0</v>
      </c>
      <c r="M276" s="28" t="s">
        <v>1052</v>
      </c>
      <c r="N276" s="10" t="s">
        <v>965</v>
      </c>
      <c r="O276" s="15">
        <f t="shared" si="1"/>
        <v>2020</v>
      </c>
      <c r="P276" s="16" t="str">
        <f t="shared" si="2"/>
        <v>GBP</v>
      </c>
      <c r="Q276" s="15">
        <f>IFERROR(__xludf.DUMMYFUNCTION("IFNA(INDEX(GOOGLEFINANCE(""Currency:USD""&amp;$P276,""price"",DATE(YEAR($L276),MONTH($L276),DAY($L276))),2,2),LOOKUP(P276,CurrencyCodes,UnitsPerUSD))"),0.8583691)</f>
        <v>0.8583691</v>
      </c>
      <c r="R276" s="17">
        <f t="shared" si="3"/>
        <v>1456249.998</v>
      </c>
    </row>
    <row r="277">
      <c r="A277" s="7">
        <v>43911.452915648144</v>
      </c>
      <c r="B277" s="8" t="s">
        <v>250</v>
      </c>
      <c r="C277" s="9"/>
      <c r="D277" s="8" t="s">
        <v>1053</v>
      </c>
      <c r="E277" s="8" t="s">
        <v>886</v>
      </c>
      <c r="F277" s="8"/>
      <c r="G277" s="9"/>
      <c r="H277" s="10" t="s">
        <v>832</v>
      </c>
      <c r="I277" s="10" t="s">
        <v>24</v>
      </c>
      <c r="J277" s="11">
        <v>1450000.0</v>
      </c>
      <c r="K277" s="10" t="s">
        <v>833</v>
      </c>
      <c r="L277" s="25">
        <v>43911.0</v>
      </c>
      <c r="M277" s="28" t="s">
        <v>1054</v>
      </c>
      <c r="N277" s="10" t="s">
        <v>965</v>
      </c>
      <c r="O277" s="15">
        <f t="shared" si="1"/>
        <v>2020</v>
      </c>
      <c r="P277" s="16" t="str">
        <f t="shared" si="2"/>
        <v>GBP</v>
      </c>
      <c r="Q277" s="15">
        <f>IFERROR(__xludf.DUMMYFUNCTION("IFNA(INDEX(GOOGLEFINANCE(""Currency:USD""&amp;$P277,""price"",DATE(YEAR($L277),MONTH($L277),DAY($L277))),2,2),LOOKUP(P277,CurrencyCodes,UnitsPerUSD))"),0.8583691)</f>
        <v>0.8583691</v>
      </c>
      <c r="R277" s="17">
        <f t="shared" si="3"/>
        <v>1689249.997</v>
      </c>
    </row>
    <row r="278">
      <c r="A278" s="7">
        <v>43911.44113399305</v>
      </c>
      <c r="B278" s="8" t="s">
        <v>250</v>
      </c>
      <c r="C278" s="9"/>
      <c r="D278" s="8" t="s">
        <v>1055</v>
      </c>
      <c r="E278" s="8" t="s">
        <v>886</v>
      </c>
      <c r="F278" s="8"/>
      <c r="G278" s="9"/>
      <c r="H278" s="10" t="s">
        <v>832</v>
      </c>
      <c r="I278" s="10" t="s">
        <v>24</v>
      </c>
      <c r="J278" s="11">
        <v>1050000.0</v>
      </c>
      <c r="K278" s="10" t="s">
        <v>833</v>
      </c>
      <c r="L278" s="25">
        <v>43911.0</v>
      </c>
      <c r="M278" s="28" t="s">
        <v>1056</v>
      </c>
      <c r="N278" s="10" t="s">
        <v>965</v>
      </c>
      <c r="O278" s="15">
        <f t="shared" si="1"/>
        <v>2020</v>
      </c>
      <c r="P278" s="16" t="str">
        <f t="shared" si="2"/>
        <v>GBP</v>
      </c>
      <c r="Q278" s="15">
        <f>IFERROR(__xludf.DUMMYFUNCTION("IFNA(INDEX(GOOGLEFINANCE(""Currency:USD""&amp;$P278,""price"",DATE(YEAR($L278),MONTH($L278),DAY($L278))),2,2),LOOKUP(P278,CurrencyCodes,UnitsPerUSD))"),0.8583691)</f>
        <v>0.8583691</v>
      </c>
      <c r="R278" s="17">
        <f t="shared" si="3"/>
        <v>1223249.998</v>
      </c>
    </row>
    <row r="279">
      <c r="A279" s="7">
        <v>43911.454296192125</v>
      </c>
      <c r="B279" s="8" t="s">
        <v>250</v>
      </c>
      <c r="C279" s="9"/>
      <c r="D279" s="8" t="s">
        <v>1057</v>
      </c>
      <c r="E279" s="8" t="s">
        <v>886</v>
      </c>
      <c r="F279" s="8"/>
      <c r="G279" s="9"/>
      <c r="H279" s="10" t="s">
        <v>832</v>
      </c>
      <c r="I279" s="10" t="s">
        <v>24</v>
      </c>
      <c r="J279" s="11">
        <v>1500000.0</v>
      </c>
      <c r="K279" s="10" t="s">
        <v>833</v>
      </c>
      <c r="L279" s="25">
        <v>43911.0</v>
      </c>
      <c r="M279" s="28" t="s">
        <v>1058</v>
      </c>
      <c r="N279" s="10" t="s">
        <v>965</v>
      </c>
      <c r="O279" s="15">
        <f t="shared" si="1"/>
        <v>2020</v>
      </c>
      <c r="P279" s="16" t="str">
        <f t="shared" si="2"/>
        <v>GBP</v>
      </c>
      <c r="Q279" s="15">
        <f>IFERROR(__xludf.DUMMYFUNCTION("IFNA(INDEX(GOOGLEFINANCE(""Currency:USD""&amp;$P279,""price"",DATE(YEAR($L279),MONTH($L279),DAY($L279))),2,2),LOOKUP(P279,CurrencyCodes,UnitsPerUSD))"),0.8583691)</f>
        <v>0.8583691</v>
      </c>
      <c r="R279" s="17">
        <f t="shared" si="3"/>
        <v>1747499.997</v>
      </c>
    </row>
    <row r="280">
      <c r="A280" s="7">
        <v>43911.44292311343</v>
      </c>
      <c r="B280" s="8" t="s">
        <v>250</v>
      </c>
      <c r="C280" s="9"/>
      <c r="D280" s="8" t="s">
        <v>1059</v>
      </c>
      <c r="E280" s="8" t="s">
        <v>886</v>
      </c>
      <c r="F280" s="8"/>
      <c r="G280" s="9"/>
      <c r="H280" s="10" t="s">
        <v>832</v>
      </c>
      <c r="I280" s="10" t="s">
        <v>24</v>
      </c>
      <c r="J280" s="11">
        <v>1100000.0</v>
      </c>
      <c r="K280" s="10" t="s">
        <v>833</v>
      </c>
      <c r="L280" s="25">
        <v>43911.0</v>
      </c>
      <c r="M280" s="28" t="s">
        <v>1060</v>
      </c>
      <c r="N280" s="10" t="s">
        <v>965</v>
      </c>
      <c r="O280" s="15">
        <f t="shared" si="1"/>
        <v>2020</v>
      </c>
      <c r="P280" s="16" t="str">
        <f t="shared" si="2"/>
        <v>GBP</v>
      </c>
      <c r="Q280" s="15">
        <f>IFERROR(__xludf.DUMMYFUNCTION("IFNA(INDEX(GOOGLEFINANCE(""Currency:USD""&amp;$P280,""price"",DATE(YEAR($L280),MONTH($L280),DAY($L280))),2,2),LOOKUP(P280,CurrencyCodes,UnitsPerUSD))"),0.8583691)</f>
        <v>0.8583691</v>
      </c>
      <c r="R280" s="17">
        <f t="shared" si="3"/>
        <v>1281499.998</v>
      </c>
    </row>
    <row r="281">
      <c r="A281" s="7">
        <v>43911.45615209491</v>
      </c>
      <c r="B281" s="8" t="s">
        <v>250</v>
      </c>
      <c r="C281" s="9"/>
      <c r="D281" s="8" t="s">
        <v>1061</v>
      </c>
      <c r="E281" s="8" t="s">
        <v>886</v>
      </c>
      <c r="F281" s="8"/>
      <c r="G281" s="9"/>
      <c r="H281" s="10" t="s">
        <v>832</v>
      </c>
      <c r="I281" s="10" t="s">
        <v>24</v>
      </c>
      <c r="J281" s="11">
        <v>1450000.0</v>
      </c>
      <c r="K281" s="10" t="s">
        <v>833</v>
      </c>
      <c r="L281" s="25">
        <v>43911.0</v>
      </c>
      <c r="M281" s="28" t="s">
        <v>1062</v>
      </c>
      <c r="N281" s="10" t="s">
        <v>965</v>
      </c>
      <c r="O281" s="15">
        <f t="shared" si="1"/>
        <v>2020</v>
      </c>
      <c r="P281" s="16" t="str">
        <f t="shared" si="2"/>
        <v>GBP</v>
      </c>
      <c r="Q281" s="15">
        <f>IFERROR(__xludf.DUMMYFUNCTION("IFNA(INDEX(GOOGLEFINANCE(""Currency:USD""&amp;$P281,""price"",DATE(YEAR($L281),MONTH($L281),DAY($L281))),2,2),LOOKUP(P281,CurrencyCodes,UnitsPerUSD))"),0.8583691)</f>
        <v>0.8583691</v>
      </c>
      <c r="R281" s="17">
        <f t="shared" si="3"/>
        <v>1689249.997</v>
      </c>
    </row>
    <row r="282">
      <c r="A282" s="7">
        <v>43911.45796204861</v>
      </c>
      <c r="B282" s="8" t="s">
        <v>250</v>
      </c>
      <c r="C282" s="9"/>
      <c r="D282" s="8" t="s">
        <v>1063</v>
      </c>
      <c r="E282" s="8" t="s">
        <v>886</v>
      </c>
      <c r="F282" s="8"/>
      <c r="G282" s="9"/>
      <c r="H282" s="10" t="s">
        <v>832</v>
      </c>
      <c r="I282" s="10" t="s">
        <v>24</v>
      </c>
      <c r="J282" s="11">
        <v>1450000.0</v>
      </c>
      <c r="K282" s="10" t="s">
        <v>833</v>
      </c>
      <c r="L282" s="25">
        <v>43911.0</v>
      </c>
      <c r="M282" s="28" t="s">
        <v>1064</v>
      </c>
      <c r="N282" s="10" t="s">
        <v>965</v>
      </c>
      <c r="O282" s="15">
        <f t="shared" si="1"/>
        <v>2020</v>
      </c>
      <c r="P282" s="16" t="str">
        <f t="shared" si="2"/>
        <v>GBP</v>
      </c>
      <c r="Q282" s="15">
        <f>IFERROR(__xludf.DUMMYFUNCTION("IFNA(INDEX(GOOGLEFINANCE(""Currency:USD""&amp;$P282,""price"",DATE(YEAR($L282),MONTH($L282),DAY($L282))),2,2),LOOKUP(P282,CurrencyCodes,UnitsPerUSD))"),0.8583691)</f>
        <v>0.8583691</v>
      </c>
      <c r="R282" s="17">
        <f t="shared" si="3"/>
        <v>1689249.997</v>
      </c>
    </row>
    <row r="283">
      <c r="A283" s="7">
        <v>43911.459569224535</v>
      </c>
      <c r="B283" s="18" t="s">
        <v>250</v>
      </c>
      <c r="C283" s="9"/>
      <c r="D283" s="8" t="s">
        <v>1065</v>
      </c>
      <c r="E283" s="18" t="s">
        <v>886</v>
      </c>
      <c r="F283" s="18"/>
      <c r="G283" s="9"/>
      <c r="H283" s="21" t="s">
        <v>832</v>
      </c>
      <c r="I283" s="21" t="s">
        <v>24</v>
      </c>
      <c r="J283" s="11">
        <v>1450000.0</v>
      </c>
      <c r="K283" s="21" t="s">
        <v>833</v>
      </c>
      <c r="L283" s="25">
        <v>43911.0</v>
      </c>
      <c r="M283" s="24" t="s">
        <v>1066</v>
      </c>
      <c r="N283" s="10" t="s">
        <v>965</v>
      </c>
      <c r="O283" s="15">
        <f t="shared" si="1"/>
        <v>2020</v>
      </c>
      <c r="P283" s="16" t="str">
        <f t="shared" si="2"/>
        <v>GBP</v>
      </c>
      <c r="Q283" s="15">
        <f>IFERROR(__xludf.DUMMYFUNCTION("IFNA(INDEX(GOOGLEFINANCE(""Currency:USD""&amp;$P283,""price"",DATE(YEAR($L283),MONTH($L283),DAY($L283))),2,2),LOOKUP(P283,CurrencyCodes,UnitsPerUSD))"),0.8583691)</f>
        <v>0.8583691</v>
      </c>
      <c r="R283" s="17">
        <f t="shared" si="3"/>
        <v>1689249.997</v>
      </c>
    </row>
    <row r="284">
      <c r="A284" s="7">
        <v>43911.46131189815</v>
      </c>
      <c r="B284" s="8" t="s">
        <v>250</v>
      </c>
      <c r="C284" s="9"/>
      <c r="D284" s="8" t="s">
        <v>1067</v>
      </c>
      <c r="E284" s="8" t="s">
        <v>886</v>
      </c>
      <c r="F284" s="8"/>
      <c r="G284" s="9"/>
      <c r="H284" s="10" t="s">
        <v>832</v>
      </c>
      <c r="I284" s="10" t="s">
        <v>24</v>
      </c>
      <c r="J284" s="11">
        <v>1500000.0</v>
      </c>
      <c r="K284" s="10" t="s">
        <v>833</v>
      </c>
      <c r="L284" s="25">
        <v>43911.0</v>
      </c>
      <c r="M284" s="28" t="s">
        <v>1068</v>
      </c>
      <c r="N284" s="10" t="s">
        <v>965</v>
      </c>
      <c r="O284" s="15">
        <f t="shared" si="1"/>
        <v>2020</v>
      </c>
      <c r="P284" s="16" t="str">
        <f t="shared" si="2"/>
        <v>GBP</v>
      </c>
      <c r="Q284" s="15">
        <f>IFERROR(__xludf.DUMMYFUNCTION("IFNA(INDEX(GOOGLEFINANCE(""Currency:USD""&amp;$P284,""price"",DATE(YEAR($L284),MONTH($L284),DAY($L284))),2,2),LOOKUP(P284,CurrencyCodes,UnitsPerUSD))"),0.8583691)</f>
        <v>0.8583691</v>
      </c>
      <c r="R284" s="17">
        <f t="shared" si="3"/>
        <v>1747499.997</v>
      </c>
    </row>
    <row r="285">
      <c r="A285" s="7">
        <v>43911.60630277778</v>
      </c>
      <c r="B285" s="18" t="s">
        <v>250</v>
      </c>
      <c r="C285" s="19"/>
      <c r="D285" s="18" t="s">
        <v>1069</v>
      </c>
      <c r="E285" s="18" t="s">
        <v>886</v>
      </c>
      <c r="F285" s="18"/>
      <c r="G285" s="19" t="s">
        <v>1070</v>
      </c>
      <c r="H285" s="21" t="s">
        <v>832</v>
      </c>
      <c r="I285" s="21" t="s">
        <v>24</v>
      </c>
      <c r="J285" s="11">
        <v>1350000.0</v>
      </c>
      <c r="K285" s="21" t="s">
        <v>833</v>
      </c>
      <c r="L285" s="25">
        <v>43335.0</v>
      </c>
      <c r="M285" s="24" t="s">
        <v>1071</v>
      </c>
      <c r="N285" s="21" t="s">
        <v>965</v>
      </c>
      <c r="O285" s="15">
        <f t="shared" si="1"/>
        <v>2018</v>
      </c>
      <c r="P285" s="16" t="str">
        <f t="shared" si="2"/>
        <v>GBP</v>
      </c>
      <c r="Q285" s="15">
        <f>IFERROR(__xludf.DUMMYFUNCTION("IFNA(INDEX(GOOGLEFINANCE(""Currency:USD""&amp;$P285,""price"",DATE(YEAR($L285),MONTH($L285),DAY($L285))),2,2),LOOKUP(P285,CurrencyCodes,UnitsPerUSD))"),0.7806)</f>
        <v>0.7806</v>
      </c>
      <c r="R285" s="17">
        <f t="shared" si="3"/>
        <v>1729438.893</v>
      </c>
    </row>
    <row r="286">
      <c r="A286" s="7">
        <v>43911.84545436343</v>
      </c>
      <c r="B286" s="18" t="s">
        <v>250</v>
      </c>
      <c r="C286" s="34"/>
      <c r="D286" s="18" t="s">
        <v>1072</v>
      </c>
      <c r="E286" s="18" t="s">
        <v>886</v>
      </c>
      <c r="F286" s="8"/>
      <c r="G286" s="19" t="s">
        <v>1073</v>
      </c>
      <c r="H286" s="21" t="s">
        <v>832</v>
      </c>
      <c r="I286" s="21" t="s">
        <v>24</v>
      </c>
      <c r="J286" s="11">
        <v>0.0</v>
      </c>
      <c r="K286" s="21" t="s">
        <v>833</v>
      </c>
      <c r="L286" s="25">
        <v>42641.0</v>
      </c>
      <c r="M286" s="24" t="s">
        <v>1074</v>
      </c>
      <c r="N286" s="10" t="s">
        <v>965</v>
      </c>
      <c r="O286" s="15">
        <f t="shared" si="1"/>
        <v>2016</v>
      </c>
      <c r="P286" s="16" t="str">
        <f t="shared" si="2"/>
        <v>GBP</v>
      </c>
      <c r="Q286" s="15">
        <f>IFERROR(__xludf.DUMMYFUNCTION("IFNA(INDEX(GOOGLEFINANCE(""Currency:USD""&amp;$P286,""price"",DATE(YEAR($L286),MONTH($L286),DAY($L286))),2,2),LOOKUP(P286,CurrencyCodes,UnitsPerUSD))"),0.7669)</f>
        <v>0.7669</v>
      </c>
      <c r="R286" s="17">
        <f t="shared" si="3"/>
        <v>0</v>
      </c>
    </row>
    <row r="287">
      <c r="A287" s="7">
        <v>43911.548880601855</v>
      </c>
      <c r="B287" s="18" t="s">
        <v>250</v>
      </c>
      <c r="C287" s="19"/>
      <c r="D287" s="18" t="s">
        <v>1075</v>
      </c>
      <c r="E287" s="18" t="s">
        <v>886</v>
      </c>
      <c r="F287" s="18"/>
      <c r="G287" s="19" t="s">
        <v>1076</v>
      </c>
      <c r="H287" s="21" t="s">
        <v>832</v>
      </c>
      <c r="I287" s="21" t="s">
        <v>39</v>
      </c>
      <c r="J287" s="11">
        <v>1.25E7</v>
      </c>
      <c r="K287" s="21" t="s">
        <v>833</v>
      </c>
      <c r="L287" s="25">
        <v>43466.0</v>
      </c>
      <c r="M287" s="24" t="s">
        <v>1077</v>
      </c>
      <c r="N287" s="27" t="s">
        <v>1078</v>
      </c>
      <c r="O287" s="15">
        <f t="shared" si="1"/>
        <v>2019</v>
      </c>
      <c r="P287" s="16" t="str">
        <f t="shared" si="2"/>
        <v>GBP</v>
      </c>
      <c r="Q287" s="15">
        <f>IFERROR(__xludf.DUMMYFUNCTION("IFNA(INDEX(GOOGLEFINANCE(""Currency:USD""&amp;$P287,""price"",DATE(YEAR($L287),MONTH($L287),DAY($L287))),2,2),LOOKUP(P287,CurrencyCodes,UnitsPerUSD))"),0.78405)</f>
        <v>0.78405</v>
      </c>
      <c r="R287" s="17">
        <f t="shared" si="3"/>
        <v>15942860.79</v>
      </c>
    </row>
    <row r="288">
      <c r="A288" s="7">
        <v>43911.598867719906</v>
      </c>
      <c r="B288" s="18" t="s">
        <v>250</v>
      </c>
      <c r="C288" s="9"/>
      <c r="D288" s="8" t="s">
        <v>1079</v>
      </c>
      <c r="E288" s="18" t="s">
        <v>886</v>
      </c>
      <c r="F288" s="8"/>
      <c r="G288" s="9" t="s">
        <v>1070</v>
      </c>
      <c r="H288" s="21" t="s">
        <v>832</v>
      </c>
      <c r="I288" s="21" t="s">
        <v>24</v>
      </c>
      <c r="J288" s="11">
        <v>0.0</v>
      </c>
      <c r="K288" s="21" t="s">
        <v>833</v>
      </c>
      <c r="L288" s="25">
        <v>43335.0</v>
      </c>
      <c r="M288" s="28" t="s">
        <v>1080</v>
      </c>
      <c r="N288" s="21" t="s">
        <v>1081</v>
      </c>
      <c r="O288" s="15">
        <f t="shared" si="1"/>
        <v>2018</v>
      </c>
      <c r="P288" s="16" t="str">
        <f t="shared" si="2"/>
        <v>GBP</v>
      </c>
      <c r="Q288" s="15">
        <f>IFERROR(__xludf.DUMMYFUNCTION("IFNA(INDEX(GOOGLEFINANCE(""Currency:USD""&amp;$P288,""price"",DATE(YEAR($L288),MONTH($L288),DAY($L288))),2,2),LOOKUP(P288,CurrencyCodes,UnitsPerUSD))"),0.7806)</f>
        <v>0.7806</v>
      </c>
      <c r="R288" s="17">
        <f t="shared" si="3"/>
        <v>0</v>
      </c>
    </row>
    <row r="289">
      <c r="A289" s="7">
        <v>43911.424398993055</v>
      </c>
      <c r="B289" s="18" t="s">
        <v>250</v>
      </c>
      <c r="C289" s="9">
        <v>1.0</v>
      </c>
      <c r="D289" s="18" t="s">
        <v>1082</v>
      </c>
      <c r="E289" s="18" t="s">
        <v>886</v>
      </c>
      <c r="F289" s="18"/>
      <c r="G289" s="19"/>
      <c r="H289" s="21" t="s">
        <v>832</v>
      </c>
      <c r="I289" s="21" t="s">
        <v>39</v>
      </c>
      <c r="J289" s="11">
        <v>4928000.0</v>
      </c>
      <c r="K289" s="21" t="s">
        <v>833</v>
      </c>
      <c r="L289" s="25">
        <v>41609.0</v>
      </c>
      <c r="M289" s="24" t="s">
        <v>1083</v>
      </c>
      <c r="N289" s="12" t="s">
        <v>1084</v>
      </c>
      <c r="O289" s="15">
        <f t="shared" si="1"/>
        <v>2013</v>
      </c>
      <c r="P289" s="16" t="str">
        <f t="shared" si="2"/>
        <v>GBP</v>
      </c>
      <c r="Q289" s="15">
        <f>IFERROR(__xludf.DUMMYFUNCTION("IFNA(INDEX(GOOGLEFINANCE(""Currency:USD""&amp;$P289,""price"",DATE(YEAR($L289),MONTH($L289),DAY($L289))),2,2),LOOKUP(P289,CurrencyCodes,UnitsPerUSD))"),0.61061)</f>
        <v>0.61061</v>
      </c>
      <c r="R289" s="17">
        <f t="shared" si="3"/>
        <v>8070617.907</v>
      </c>
    </row>
    <row r="290">
      <c r="A290" s="7">
        <v>44027.90341989583</v>
      </c>
      <c r="B290" s="18" t="s">
        <v>250</v>
      </c>
      <c r="C290" s="19"/>
      <c r="D290" s="18" t="s">
        <v>1085</v>
      </c>
      <c r="E290" s="18" t="s">
        <v>886</v>
      </c>
      <c r="F290" s="18"/>
      <c r="G290" s="19" t="s">
        <v>1070</v>
      </c>
      <c r="H290" s="21" t="s">
        <v>832</v>
      </c>
      <c r="I290" s="21" t="s">
        <v>39</v>
      </c>
      <c r="J290" s="11">
        <v>1250000.0</v>
      </c>
      <c r="K290" s="21" t="s">
        <v>833</v>
      </c>
      <c r="L290" s="25">
        <v>43748.0</v>
      </c>
      <c r="M290" s="24" t="s">
        <v>1086</v>
      </c>
      <c r="N290" s="12" t="s">
        <v>1087</v>
      </c>
      <c r="O290" s="15">
        <f t="shared" si="1"/>
        <v>2019</v>
      </c>
      <c r="P290" s="16" t="str">
        <f t="shared" si="2"/>
        <v>GBP</v>
      </c>
      <c r="Q290" s="15">
        <f>IFERROR(__xludf.DUMMYFUNCTION("IFNA(INDEX(GOOGLEFINANCE(""Currency:USD""&amp;$P290,""price"",DATE(YEAR($L290),MONTH($L290),DAY($L290))),2,2),LOOKUP(P290,CurrencyCodes,UnitsPerUSD))"),0.80434)</f>
        <v>0.80434</v>
      </c>
      <c r="R290" s="17">
        <f t="shared" si="3"/>
        <v>1554069.175</v>
      </c>
    </row>
    <row r="291">
      <c r="A291" s="7">
        <v>43911.61240759259</v>
      </c>
      <c r="B291" s="18" t="s">
        <v>250</v>
      </c>
      <c r="C291" s="19"/>
      <c r="D291" s="18" t="s">
        <v>1088</v>
      </c>
      <c r="E291" s="18" t="s">
        <v>886</v>
      </c>
      <c r="F291" s="18"/>
      <c r="G291" s="19" t="s">
        <v>1089</v>
      </c>
      <c r="H291" s="21" t="s">
        <v>832</v>
      </c>
      <c r="I291" s="21" t="s">
        <v>24</v>
      </c>
      <c r="J291" s="11">
        <v>8000000.0</v>
      </c>
      <c r="K291" s="21" t="s">
        <v>833</v>
      </c>
      <c r="L291" s="25">
        <v>43335.0</v>
      </c>
      <c r="M291" s="24" t="s">
        <v>1090</v>
      </c>
      <c r="N291" s="27" t="s">
        <v>1091</v>
      </c>
      <c r="O291" s="15">
        <f t="shared" si="1"/>
        <v>2018</v>
      </c>
      <c r="P291" s="16" t="str">
        <f t="shared" si="2"/>
        <v>GBP</v>
      </c>
      <c r="Q291" s="15">
        <f>IFERROR(__xludf.DUMMYFUNCTION("IFNA(INDEX(GOOGLEFINANCE(""Currency:USD""&amp;$P291,""price"",DATE(YEAR($L291),MONTH($L291),DAY($L291))),2,2),LOOKUP(P291,CurrencyCodes,UnitsPerUSD))"),0.7806)</f>
        <v>0.7806</v>
      </c>
      <c r="R291" s="17">
        <f t="shared" si="3"/>
        <v>10248526.77</v>
      </c>
    </row>
    <row r="292">
      <c r="A292" s="7">
        <v>43911.64440740741</v>
      </c>
      <c r="B292" s="18" t="s">
        <v>250</v>
      </c>
      <c r="C292" s="19"/>
      <c r="D292" s="18" t="s">
        <v>1092</v>
      </c>
      <c r="E292" s="18" t="s">
        <v>886</v>
      </c>
      <c r="F292" s="18"/>
      <c r="G292" s="19" t="s">
        <v>1093</v>
      </c>
      <c r="H292" s="21" t="s">
        <v>832</v>
      </c>
      <c r="I292" s="21" t="s">
        <v>39</v>
      </c>
      <c r="J292" s="11">
        <v>0.0</v>
      </c>
      <c r="K292" s="21" t="s">
        <v>833</v>
      </c>
      <c r="L292" s="25">
        <v>43191.0</v>
      </c>
      <c r="M292" s="24" t="s">
        <v>1094</v>
      </c>
      <c r="N292" s="10" t="s">
        <v>965</v>
      </c>
      <c r="O292" s="15">
        <f t="shared" si="1"/>
        <v>2018</v>
      </c>
      <c r="P292" s="16" t="str">
        <f t="shared" si="2"/>
        <v>GBP</v>
      </c>
      <c r="Q292" s="15">
        <f>IFERROR(__xludf.DUMMYFUNCTION("IFNA(INDEX(GOOGLEFINANCE(""Currency:USD""&amp;$P292,""price"",DATE(YEAR($L292),MONTH($L292),DAY($L292))),2,2),LOOKUP(P292,CurrencyCodes,UnitsPerUSD))"),0.71234)</f>
        <v>0.71234</v>
      </c>
      <c r="R292" s="17">
        <f t="shared" si="3"/>
        <v>0</v>
      </c>
    </row>
    <row r="293">
      <c r="A293" s="7">
        <v>44027.90547136574</v>
      </c>
      <c r="B293" s="18" t="s">
        <v>250</v>
      </c>
      <c r="C293" s="9"/>
      <c r="D293" s="8" t="s">
        <v>1095</v>
      </c>
      <c r="E293" s="8" t="s">
        <v>886</v>
      </c>
      <c r="F293" s="8"/>
      <c r="G293" s="9" t="s">
        <v>1070</v>
      </c>
      <c r="H293" s="21" t="s">
        <v>832</v>
      </c>
      <c r="I293" s="21" t="s">
        <v>24</v>
      </c>
      <c r="J293" s="11">
        <v>1195000.0</v>
      </c>
      <c r="K293" s="21" t="s">
        <v>833</v>
      </c>
      <c r="L293" s="25">
        <v>43335.0</v>
      </c>
      <c r="M293" s="28" t="s">
        <v>1096</v>
      </c>
      <c r="N293" s="21" t="s">
        <v>965</v>
      </c>
      <c r="O293" s="15">
        <f t="shared" si="1"/>
        <v>2018</v>
      </c>
      <c r="P293" s="16" t="str">
        <f t="shared" si="2"/>
        <v>GBP</v>
      </c>
      <c r="Q293" s="15">
        <f>IFERROR(__xludf.DUMMYFUNCTION("IFNA(INDEX(GOOGLEFINANCE(""Currency:USD""&amp;$P293,""price"",DATE(YEAR($L293),MONTH($L293),DAY($L293))),2,2),LOOKUP(P293,CurrencyCodes,UnitsPerUSD))"),0.7806)</f>
        <v>0.7806</v>
      </c>
      <c r="R293" s="17">
        <f t="shared" si="3"/>
        <v>1530873.687</v>
      </c>
    </row>
    <row r="294">
      <c r="A294" s="7">
        <v>43911.60277747685</v>
      </c>
      <c r="B294" s="18" t="s">
        <v>250</v>
      </c>
      <c r="C294" s="9"/>
      <c r="D294" s="8" t="s">
        <v>1097</v>
      </c>
      <c r="E294" s="18" t="s">
        <v>886</v>
      </c>
      <c r="F294" s="8"/>
      <c r="G294" s="19" t="s">
        <v>1098</v>
      </c>
      <c r="H294" s="21" t="s">
        <v>832</v>
      </c>
      <c r="I294" s="21" t="s">
        <v>24</v>
      </c>
      <c r="J294" s="11">
        <v>5500000.0</v>
      </c>
      <c r="K294" s="21" t="s">
        <v>833</v>
      </c>
      <c r="L294" s="25">
        <v>43029.0</v>
      </c>
      <c r="M294" s="28" t="s">
        <v>1099</v>
      </c>
      <c r="N294" s="27" t="s">
        <v>1100</v>
      </c>
      <c r="O294" s="15">
        <f t="shared" si="1"/>
        <v>2017</v>
      </c>
      <c r="P294" s="16" t="str">
        <f t="shared" si="2"/>
        <v>GBP</v>
      </c>
      <c r="Q294" s="15">
        <f>IFERROR(__xludf.DUMMYFUNCTION("IFNA(INDEX(GOOGLEFINANCE(""Currency:USD""&amp;$P294,""price"",DATE(YEAR($L294),MONTH($L294),DAY($L294))),2,2),LOOKUP(P294,CurrencyCodes,UnitsPerUSD))"),0.75775)</f>
        <v>0.75775</v>
      </c>
      <c r="R294" s="17">
        <f t="shared" si="3"/>
        <v>7258330.584</v>
      </c>
    </row>
    <row r="295">
      <c r="A295" s="7">
        <v>43911.60766613426</v>
      </c>
      <c r="B295" s="8" t="s">
        <v>250</v>
      </c>
      <c r="C295" s="9"/>
      <c r="D295" s="8" t="s">
        <v>1101</v>
      </c>
      <c r="E295" s="8" t="s">
        <v>886</v>
      </c>
      <c r="F295" s="8"/>
      <c r="G295" s="9" t="s">
        <v>1102</v>
      </c>
      <c r="H295" s="10" t="s">
        <v>832</v>
      </c>
      <c r="I295" s="10" t="s">
        <v>24</v>
      </c>
      <c r="J295" s="11">
        <v>1.4E7</v>
      </c>
      <c r="K295" s="10" t="s">
        <v>833</v>
      </c>
      <c r="L295" s="25">
        <v>43029.0</v>
      </c>
      <c r="M295" s="28" t="s">
        <v>1103</v>
      </c>
      <c r="N295" s="12" t="s">
        <v>1104</v>
      </c>
      <c r="O295" s="15">
        <f t="shared" si="1"/>
        <v>2017</v>
      </c>
      <c r="P295" s="16" t="str">
        <f t="shared" si="2"/>
        <v>GBP</v>
      </c>
      <c r="Q295" s="15">
        <f>IFERROR(__xludf.DUMMYFUNCTION("IFNA(INDEX(GOOGLEFINANCE(""Currency:USD""&amp;$P295,""price"",DATE(YEAR($L295),MONTH($L295),DAY($L295))),2,2),LOOKUP(P295,CurrencyCodes,UnitsPerUSD))"),0.75775)</f>
        <v>0.75775</v>
      </c>
      <c r="R295" s="17">
        <f t="shared" si="3"/>
        <v>18475750.58</v>
      </c>
    </row>
    <row r="296">
      <c r="A296" s="7">
        <v>44027.904365821756</v>
      </c>
      <c r="B296" s="18" t="s">
        <v>250</v>
      </c>
      <c r="C296" s="19"/>
      <c r="D296" s="18" t="s">
        <v>1105</v>
      </c>
      <c r="E296" s="18" t="s">
        <v>886</v>
      </c>
      <c r="F296" s="8"/>
      <c r="G296" s="9" t="s">
        <v>1070</v>
      </c>
      <c r="H296" s="21" t="s">
        <v>832</v>
      </c>
      <c r="I296" s="21" t="s">
        <v>39</v>
      </c>
      <c r="J296" s="11">
        <v>950000.0</v>
      </c>
      <c r="K296" s="21" t="s">
        <v>833</v>
      </c>
      <c r="L296" s="25">
        <v>43714.0</v>
      </c>
      <c r="M296" s="24" t="s">
        <v>1106</v>
      </c>
      <c r="N296" s="27" t="s">
        <v>1107</v>
      </c>
      <c r="O296" s="15">
        <f t="shared" si="1"/>
        <v>2019</v>
      </c>
      <c r="P296" s="16" t="str">
        <f t="shared" si="2"/>
        <v>GBP</v>
      </c>
      <c r="Q296" s="15">
        <f>IFERROR(__xludf.DUMMYFUNCTION("IFNA(INDEX(GOOGLEFINANCE(""Currency:USD""&amp;$P296,""price"",DATE(YEAR($L296),MONTH($L296),DAY($L296))),2,2),LOOKUP(P296,CurrencyCodes,UnitsPerUSD))"),0.814265)</f>
        <v>0.814265</v>
      </c>
      <c r="R296" s="17">
        <f t="shared" si="3"/>
        <v>1166696.346</v>
      </c>
    </row>
    <row r="297">
      <c r="A297" s="7">
        <v>43911.61112952547</v>
      </c>
      <c r="B297" s="18" t="s">
        <v>250</v>
      </c>
      <c r="C297" s="9"/>
      <c r="D297" s="18" t="s">
        <v>1108</v>
      </c>
      <c r="E297" s="18" t="s">
        <v>886</v>
      </c>
      <c r="F297" s="8"/>
      <c r="G297" s="9" t="s">
        <v>1102</v>
      </c>
      <c r="H297" s="21" t="s">
        <v>832</v>
      </c>
      <c r="I297" s="21" t="s">
        <v>24</v>
      </c>
      <c r="J297" s="11">
        <v>5500000.0</v>
      </c>
      <c r="K297" s="21" t="s">
        <v>833</v>
      </c>
      <c r="L297" s="25">
        <v>43335.0</v>
      </c>
      <c r="M297" s="24" t="s">
        <v>1109</v>
      </c>
      <c r="N297" s="12" t="s">
        <v>1110</v>
      </c>
      <c r="O297" s="15">
        <f t="shared" si="1"/>
        <v>2018</v>
      </c>
      <c r="P297" s="16" t="str">
        <f t="shared" si="2"/>
        <v>GBP</v>
      </c>
      <c r="Q297" s="15">
        <f>IFERROR(__xludf.DUMMYFUNCTION("IFNA(INDEX(GOOGLEFINANCE(""Currency:USD""&amp;$P297,""price"",DATE(YEAR($L297),MONTH($L297),DAY($L297))),2,2),LOOKUP(P297,CurrencyCodes,UnitsPerUSD))"),0.7806)</f>
        <v>0.7806</v>
      </c>
      <c r="R297" s="17">
        <f t="shared" si="3"/>
        <v>7045862.157</v>
      </c>
    </row>
    <row r="298">
      <c r="A298" s="7">
        <v>43911.46618427083</v>
      </c>
      <c r="B298" s="8" t="s">
        <v>250</v>
      </c>
      <c r="C298" s="9">
        <v>1.0</v>
      </c>
      <c r="D298" s="8" t="s">
        <v>1111</v>
      </c>
      <c r="E298" s="8" t="s">
        <v>886</v>
      </c>
      <c r="F298" s="8"/>
      <c r="G298" s="9" t="s">
        <v>1112</v>
      </c>
      <c r="H298" s="10" t="s">
        <v>832</v>
      </c>
      <c r="I298" s="10" t="s">
        <v>39</v>
      </c>
      <c r="J298" s="11">
        <v>1800000.0</v>
      </c>
      <c r="K298" s="10" t="s">
        <v>833</v>
      </c>
      <c r="L298" s="25">
        <v>43831.0</v>
      </c>
      <c r="M298" s="28" t="s">
        <v>1113</v>
      </c>
      <c r="N298" s="10" t="s">
        <v>965</v>
      </c>
      <c r="O298" s="15">
        <f t="shared" si="1"/>
        <v>2020</v>
      </c>
      <c r="P298" s="16" t="str">
        <f t="shared" si="2"/>
        <v>GBP</v>
      </c>
      <c r="Q298" s="15">
        <f>IFERROR(__xludf.DUMMYFUNCTION("IFNA(INDEX(GOOGLEFINANCE(""Currency:USD""&amp;$P298,""price"",DATE(YEAR($L298),MONTH($L298),DAY($L298))),2,2),LOOKUP(P298,CurrencyCodes,UnitsPerUSD))"),0.7548)</f>
        <v>0.7548</v>
      </c>
      <c r="R298" s="17">
        <f t="shared" si="3"/>
        <v>2384737.679</v>
      </c>
    </row>
    <row r="299">
      <c r="A299" s="7">
        <v>44027.9081912963</v>
      </c>
      <c r="B299" s="8" t="s">
        <v>250</v>
      </c>
      <c r="C299" s="9">
        <v>8.0</v>
      </c>
      <c r="D299" s="8" t="s">
        <v>1111</v>
      </c>
      <c r="E299" s="8" t="s">
        <v>886</v>
      </c>
      <c r="F299" s="8"/>
      <c r="G299" s="9" t="s">
        <v>1112</v>
      </c>
      <c r="H299" s="10" t="s">
        <v>832</v>
      </c>
      <c r="I299" s="10" t="s">
        <v>39</v>
      </c>
      <c r="J299" s="11">
        <v>1395000.0</v>
      </c>
      <c r="K299" s="10" t="s">
        <v>833</v>
      </c>
      <c r="L299" s="25">
        <v>43150.0</v>
      </c>
      <c r="M299" s="28" t="s">
        <v>1114</v>
      </c>
      <c r="N299" s="12" t="s">
        <v>1115</v>
      </c>
      <c r="O299" s="15">
        <f t="shared" si="1"/>
        <v>2018</v>
      </c>
      <c r="P299" s="16" t="str">
        <f t="shared" si="2"/>
        <v>GBP</v>
      </c>
      <c r="Q299" s="15">
        <f>IFERROR(__xludf.DUMMYFUNCTION("IFNA(INDEX(GOOGLEFINANCE(""Currency:USD""&amp;$P299,""price"",DATE(YEAR($L299),MONTH($L299),DAY($L299))),2,2),LOOKUP(P299,CurrencyCodes,UnitsPerUSD))"),0.71466)</f>
        <v>0.71466</v>
      </c>
      <c r="R299" s="17">
        <f t="shared" si="3"/>
        <v>1951977.164</v>
      </c>
    </row>
    <row r="300">
      <c r="A300" s="7">
        <v>43911.586816863426</v>
      </c>
      <c r="B300" s="18" t="s">
        <v>250</v>
      </c>
      <c r="C300" s="19"/>
      <c r="D300" s="18" t="s">
        <v>1116</v>
      </c>
      <c r="E300" s="18" t="s">
        <v>886</v>
      </c>
      <c r="F300" s="18"/>
      <c r="G300" s="19" t="s">
        <v>1073</v>
      </c>
      <c r="H300" s="21" t="s">
        <v>832</v>
      </c>
      <c r="I300" s="21" t="s">
        <v>24</v>
      </c>
      <c r="J300" s="11">
        <v>0.0</v>
      </c>
      <c r="K300" s="21" t="s">
        <v>833</v>
      </c>
      <c r="L300" s="25">
        <v>42370.0</v>
      </c>
      <c r="M300" s="24" t="s">
        <v>1117</v>
      </c>
      <c r="N300" s="27" t="s">
        <v>1118</v>
      </c>
      <c r="O300" s="15">
        <f t="shared" si="1"/>
        <v>2016</v>
      </c>
      <c r="P300" s="16" t="str">
        <f t="shared" si="2"/>
        <v>GBP</v>
      </c>
      <c r="Q300" s="15">
        <f>IFERROR(__xludf.DUMMYFUNCTION("IFNA(INDEX(GOOGLEFINANCE(""Currency:USD""&amp;$P300,""price"",DATE(YEAR($L300),MONTH($L300),DAY($L300))),2,2),LOOKUP(P300,CurrencyCodes,UnitsPerUSD))"),0.67815)</f>
        <v>0.67815</v>
      </c>
      <c r="R300" s="17">
        <f t="shared" si="3"/>
        <v>0</v>
      </c>
    </row>
    <row r="301">
      <c r="A301" s="7">
        <v>43911.609201875</v>
      </c>
      <c r="B301" s="8" t="s">
        <v>250</v>
      </c>
      <c r="C301" s="9"/>
      <c r="D301" s="8" t="s">
        <v>1119</v>
      </c>
      <c r="E301" s="8" t="s">
        <v>886</v>
      </c>
      <c r="F301" s="8"/>
      <c r="G301" s="9" t="s">
        <v>1102</v>
      </c>
      <c r="H301" s="10" t="s">
        <v>832</v>
      </c>
      <c r="I301" s="10" t="s">
        <v>24</v>
      </c>
      <c r="J301" s="11">
        <v>1.25E7</v>
      </c>
      <c r="K301" s="10" t="s">
        <v>833</v>
      </c>
      <c r="L301" s="25">
        <v>43029.0</v>
      </c>
      <c r="M301" s="28" t="s">
        <v>1120</v>
      </c>
      <c r="N301" s="12" t="s">
        <v>1121</v>
      </c>
      <c r="O301" s="15">
        <f t="shared" si="1"/>
        <v>2017</v>
      </c>
      <c r="P301" s="16" t="str">
        <f t="shared" si="2"/>
        <v>GBP</v>
      </c>
      <c r="Q301" s="15">
        <f>IFERROR(__xludf.DUMMYFUNCTION("IFNA(INDEX(GOOGLEFINANCE(""Currency:USD""&amp;$P301,""price"",DATE(YEAR($L301),MONTH($L301),DAY($L301))),2,2),LOOKUP(P301,CurrencyCodes,UnitsPerUSD))"),0.75775)</f>
        <v>0.75775</v>
      </c>
      <c r="R301" s="17">
        <f t="shared" si="3"/>
        <v>16496205.87</v>
      </c>
    </row>
    <row r="302">
      <c r="A302" s="7">
        <v>43912.486378437505</v>
      </c>
      <c r="B302" s="18" t="s">
        <v>18</v>
      </c>
      <c r="C302" s="19"/>
      <c r="D302" s="18" t="s">
        <v>1122</v>
      </c>
      <c r="E302" s="20" t="s">
        <v>1123</v>
      </c>
      <c r="F302" s="18"/>
      <c r="G302" s="19" t="s">
        <v>1124</v>
      </c>
      <c r="H302" s="21" t="s">
        <v>832</v>
      </c>
      <c r="I302" s="21" t="s">
        <v>24</v>
      </c>
      <c r="J302" s="11">
        <v>150000.0</v>
      </c>
      <c r="K302" s="21" t="s">
        <v>833</v>
      </c>
      <c r="L302" s="25">
        <v>43891.0</v>
      </c>
      <c r="M302" s="31" t="s">
        <v>1125</v>
      </c>
      <c r="N302" s="21"/>
      <c r="O302" s="15">
        <f t="shared" si="1"/>
        <v>2020</v>
      </c>
      <c r="P302" s="16" t="str">
        <f t="shared" si="2"/>
        <v>GBP</v>
      </c>
      <c r="Q302" s="15">
        <f>IFERROR(__xludf.DUMMYFUNCTION("IFNA(INDEX(GOOGLEFINANCE(""Currency:USD""&amp;$P302,""price"",DATE(YEAR($L302),MONTH($L302),DAY($L302))),2,2),LOOKUP(P302,CurrencyCodes,UnitsPerUSD))"),0.780805)</f>
        <v>0.780805</v>
      </c>
      <c r="R302" s="17">
        <f t="shared" si="3"/>
        <v>192109.4255</v>
      </c>
    </row>
    <row r="303">
      <c r="A303" s="7">
        <v>44027.906908136574</v>
      </c>
      <c r="B303" s="18" t="s">
        <v>250</v>
      </c>
      <c r="C303" s="9"/>
      <c r="D303" s="8" t="s">
        <v>1126</v>
      </c>
      <c r="E303" s="18" t="s">
        <v>1127</v>
      </c>
      <c r="F303" s="18"/>
      <c r="G303" s="9" t="s">
        <v>1128</v>
      </c>
      <c r="H303" s="21" t="s">
        <v>832</v>
      </c>
      <c r="I303" s="21" t="s">
        <v>24</v>
      </c>
      <c r="J303" s="11">
        <v>2750000.0</v>
      </c>
      <c r="K303" s="21" t="s">
        <v>833</v>
      </c>
      <c r="L303" s="25">
        <v>43029.0</v>
      </c>
      <c r="M303" s="28" t="s">
        <v>1129</v>
      </c>
      <c r="N303" s="21" t="s">
        <v>965</v>
      </c>
      <c r="O303" s="15">
        <f t="shared" si="1"/>
        <v>2017</v>
      </c>
      <c r="P303" s="16" t="str">
        <f t="shared" si="2"/>
        <v>GBP</v>
      </c>
      <c r="Q303" s="15">
        <f>IFERROR(__xludf.DUMMYFUNCTION("IFNA(INDEX(GOOGLEFINANCE(""Currency:USD""&amp;$P303,""price"",DATE(YEAR($L303),MONTH($L303),DAY($L303))),2,2),LOOKUP(P303,CurrencyCodes,UnitsPerUSD))"),0.75775)</f>
        <v>0.75775</v>
      </c>
      <c r="R303" s="17">
        <f t="shared" si="3"/>
        <v>3629165.292</v>
      </c>
    </row>
    <row r="304">
      <c r="A304" s="7">
        <v>43913.823319166666</v>
      </c>
      <c r="B304" s="18" t="s">
        <v>18</v>
      </c>
      <c r="C304" s="9" t="s">
        <v>1130</v>
      </c>
      <c r="D304" s="8" t="s">
        <v>1131</v>
      </c>
      <c r="E304" s="18" t="s">
        <v>1132</v>
      </c>
      <c r="F304" s="18"/>
      <c r="G304" s="19" t="s">
        <v>1133</v>
      </c>
      <c r="H304" s="21" t="s">
        <v>832</v>
      </c>
      <c r="I304" s="21" t="s">
        <v>39</v>
      </c>
      <c r="J304" s="11">
        <v>782340.0</v>
      </c>
      <c r="K304" s="21" t="s">
        <v>833</v>
      </c>
      <c r="L304" s="25">
        <v>43188.0</v>
      </c>
      <c r="M304" s="31" t="s">
        <v>1134</v>
      </c>
      <c r="N304" s="10"/>
      <c r="O304" s="15">
        <f t="shared" si="1"/>
        <v>2018</v>
      </c>
      <c r="P304" s="16" t="str">
        <f t="shared" si="2"/>
        <v>GBP</v>
      </c>
      <c r="Q304" s="15">
        <f>IFERROR(__xludf.DUMMYFUNCTION("IFNA(INDEX(GOOGLEFINANCE(""Currency:USD""&amp;$P304,""price"",DATE(YEAR($L304),MONTH($L304),DAY($L304))),2,2),LOOKUP(P304,CurrencyCodes,UnitsPerUSD))"),0.71279)</f>
        <v>0.71279</v>
      </c>
      <c r="R304" s="17">
        <f t="shared" si="3"/>
        <v>1097574.321</v>
      </c>
    </row>
    <row r="305">
      <c r="A305" s="7">
        <v>43915.74802292824</v>
      </c>
      <c r="B305" s="8" t="s">
        <v>18</v>
      </c>
      <c r="C305" s="9"/>
      <c r="D305" s="8" t="s">
        <v>1135</v>
      </c>
      <c r="E305" s="8" t="s">
        <v>1136</v>
      </c>
      <c r="F305" s="8"/>
      <c r="G305" s="9" t="s">
        <v>1137</v>
      </c>
      <c r="H305" s="10" t="s">
        <v>832</v>
      </c>
      <c r="I305" s="10" t="s">
        <v>39</v>
      </c>
      <c r="J305" s="11">
        <v>87500.0</v>
      </c>
      <c r="K305" s="10" t="s">
        <v>833</v>
      </c>
      <c r="L305" s="25">
        <v>42005.0</v>
      </c>
      <c r="M305" s="10"/>
      <c r="N305" s="12" t="s">
        <v>1138</v>
      </c>
      <c r="O305" s="15">
        <f t="shared" si="1"/>
        <v>2015</v>
      </c>
      <c r="P305" s="16" t="str">
        <f t="shared" si="2"/>
        <v>GBP</v>
      </c>
      <c r="Q305" s="15">
        <f>IFERROR(__xludf.DUMMYFUNCTION("IFNA(INDEX(GOOGLEFINANCE(""Currency:USD""&amp;$P305,""price"",DATE(YEAR($L305),MONTH($L305),DAY($L305))),2,2),LOOKUP(P305,CurrencyCodes,UnitsPerUSD))"),0.64186)</f>
        <v>0.64186</v>
      </c>
      <c r="R305" s="17">
        <f t="shared" si="3"/>
        <v>136322.5626</v>
      </c>
    </row>
    <row r="306">
      <c r="A306" s="7">
        <v>43916.93281591435</v>
      </c>
      <c r="B306" s="18" t="s">
        <v>18</v>
      </c>
      <c r="C306" s="19">
        <v>28.0</v>
      </c>
      <c r="D306" s="18" t="s">
        <v>1139</v>
      </c>
      <c r="E306" s="20" t="s">
        <v>1140</v>
      </c>
      <c r="F306" s="18"/>
      <c r="G306" s="19" t="s">
        <v>1141</v>
      </c>
      <c r="H306" s="21" t="s">
        <v>832</v>
      </c>
      <c r="I306" s="21" t="s">
        <v>39</v>
      </c>
      <c r="J306" s="11">
        <v>0.0</v>
      </c>
      <c r="K306" s="21" t="s">
        <v>833</v>
      </c>
      <c r="L306" s="22"/>
      <c r="M306" s="21"/>
      <c r="N306" s="27" t="s">
        <v>1142</v>
      </c>
      <c r="O306" s="15" t="str">
        <f t="shared" si="1"/>
        <v>Unknown</v>
      </c>
      <c r="P306" s="16" t="str">
        <f t="shared" si="2"/>
        <v>GBP</v>
      </c>
      <c r="Q306" s="15">
        <f>IFERROR(__xludf.DUMMYFUNCTION("IFNA(INDEX(GOOGLEFINANCE(""Currency:USD""&amp;$P306,""price"",DATE(YEAR($L306),MONTH($L306),DAY($L306))),2,2),LOOKUP(P306,CurrencyCodes,UnitsPerUSD))"),0.8143333168)</f>
        <v>0.8143333168</v>
      </c>
      <c r="R306" s="17">
        <f t="shared" si="3"/>
        <v>0</v>
      </c>
    </row>
    <row r="307">
      <c r="A307" s="7">
        <v>43916.9488475463</v>
      </c>
      <c r="B307" s="18" t="s">
        <v>18</v>
      </c>
      <c r="C307" s="19"/>
      <c r="D307" s="18" t="s">
        <v>1143</v>
      </c>
      <c r="E307" s="18" t="s">
        <v>1144</v>
      </c>
      <c r="F307" s="18"/>
      <c r="G307" s="19" t="s">
        <v>1145</v>
      </c>
      <c r="H307" s="21" t="s">
        <v>832</v>
      </c>
      <c r="I307" s="21" t="s">
        <v>24</v>
      </c>
      <c r="J307" s="11">
        <v>160000.0</v>
      </c>
      <c r="K307" s="21" t="s">
        <v>833</v>
      </c>
      <c r="L307" s="25">
        <v>43831.0</v>
      </c>
      <c r="M307" s="31" t="s">
        <v>1146</v>
      </c>
      <c r="N307" s="10"/>
      <c r="O307" s="15">
        <f t="shared" si="1"/>
        <v>2020</v>
      </c>
      <c r="P307" s="16" t="str">
        <f t="shared" si="2"/>
        <v>GBP</v>
      </c>
      <c r="Q307" s="15">
        <f>IFERROR(__xludf.DUMMYFUNCTION("IFNA(INDEX(GOOGLEFINANCE(""Currency:USD""&amp;$P307,""price"",DATE(YEAR($L307),MONTH($L307),DAY($L307))),2,2),LOOKUP(P307,CurrencyCodes,UnitsPerUSD))"),0.7548)</f>
        <v>0.7548</v>
      </c>
      <c r="R307" s="17">
        <f t="shared" si="3"/>
        <v>211976.6826</v>
      </c>
    </row>
    <row r="308">
      <c r="A308" s="7">
        <v>43917.28900774306</v>
      </c>
      <c r="B308" s="8" t="s">
        <v>18</v>
      </c>
      <c r="C308" s="9"/>
      <c r="D308" s="8" t="s">
        <v>1147</v>
      </c>
      <c r="E308" s="35" t="s">
        <v>1148</v>
      </c>
      <c r="F308" s="8"/>
      <c r="G308" s="9" t="s">
        <v>1149</v>
      </c>
      <c r="H308" s="10" t="s">
        <v>832</v>
      </c>
      <c r="I308" s="10" t="s">
        <v>39</v>
      </c>
      <c r="J308" s="11">
        <v>70000.0</v>
      </c>
      <c r="K308" s="10" t="s">
        <v>833</v>
      </c>
      <c r="L308" s="25">
        <v>43329.0</v>
      </c>
      <c r="M308" s="14" t="s">
        <v>1150</v>
      </c>
      <c r="N308" s="10"/>
      <c r="O308" s="15">
        <f t="shared" si="1"/>
        <v>2018</v>
      </c>
      <c r="P308" s="16" t="str">
        <f t="shared" si="2"/>
        <v>GBP</v>
      </c>
      <c r="Q308" s="15">
        <f>IFERROR(__xludf.DUMMYFUNCTION("IFNA(INDEX(GOOGLEFINANCE(""Currency:USD""&amp;$P308,""price"",DATE(YEAR($L308),MONTH($L308),DAY($L308))),2,2),LOOKUP(P308,CurrencyCodes,UnitsPerUSD))"),0.78388)</f>
        <v>0.78388</v>
      </c>
      <c r="R308" s="17">
        <f t="shared" si="3"/>
        <v>89299.38256</v>
      </c>
    </row>
    <row r="309">
      <c r="A309" s="7">
        <v>43918.396375185184</v>
      </c>
      <c r="B309" s="18" t="s">
        <v>18</v>
      </c>
      <c r="C309" s="9">
        <v>29.0</v>
      </c>
      <c r="D309" s="18" t="s">
        <v>1151</v>
      </c>
      <c r="E309" s="18" t="s">
        <v>1152</v>
      </c>
      <c r="F309" s="8"/>
      <c r="G309" s="19" t="s">
        <v>1153</v>
      </c>
      <c r="H309" s="21" t="s">
        <v>832</v>
      </c>
      <c r="I309" s="21" t="s">
        <v>39</v>
      </c>
      <c r="J309" s="11">
        <v>60000.0</v>
      </c>
      <c r="K309" s="21" t="s">
        <v>833</v>
      </c>
      <c r="L309" s="25">
        <v>42780.0</v>
      </c>
      <c r="M309" s="24" t="s">
        <v>1154</v>
      </c>
      <c r="N309" s="21" t="s">
        <v>1155</v>
      </c>
      <c r="O309" s="15">
        <f t="shared" si="1"/>
        <v>2017</v>
      </c>
      <c r="P309" s="16" t="str">
        <f t="shared" si="2"/>
        <v>GBP</v>
      </c>
      <c r="Q309" s="15">
        <f>IFERROR(__xludf.DUMMYFUNCTION("IFNA(INDEX(GOOGLEFINANCE(""Currency:USD""&amp;$P309,""price"",DATE(YEAR($L309),MONTH($L309),DAY($L309))),2,2),LOOKUP(P309,CurrencyCodes,UnitsPerUSD))"),0.8019)</f>
        <v>0.8019</v>
      </c>
      <c r="R309" s="17">
        <f t="shared" si="3"/>
        <v>74822.29704</v>
      </c>
    </row>
    <row r="310">
      <c r="A310" s="7">
        <v>43919.520943703705</v>
      </c>
      <c r="B310" s="8" t="s">
        <v>18</v>
      </c>
      <c r="C310" s="9"/>
      <c r="D310" s="8" t="s">
        <v>1156</v>
      </c>
      <c r="E310" s="8" t="s">
        <v>1157</v>
      </c>
      <c r="F310" s="8"/>
      <c r="G310" s="9" t="s">
        <v>1158</v>
      </c>
      <c r="H310" s="10" t="s">
        <v>832</v>
      </c>
      <c r="I310" s="10" t="s">
        <v>39</v>
      </c>
      <c r="J310" s="11">
        <v>350000.0</v>
      </c>
      <c r="K310" s="10" t="s">
        <v>833</v>
      </c>
      <c r="L310" s="25">
        <v>43800.0</v>
      </c>
      <c r="M310" s="14" t="s">
        <v>1159</v>
      </c>
      <c r="N310" s="10"/>
      <c r="O310" s="15">
        <f t="shared" si="1"/>
        <v>2019</v>
      </c>
      <c r="P310" s="16" t="str">
        <f t="shared" si="2"/>
        <v>GBP</v>
      </c>
      <c r="Q310" s="15">
        <f>IFERROR(__xludf.DUMMYFUNCTION("IFNA(INDEX(GOOGLEFINANCE(""Currency:USD""&amp;$P310,""price"",DATE(YEAR($L310),MONTH($L310),DAY($L310))),2,2),LOOKUP(P310,CurrencyCodes,UnitsPerUSD))"),0.774465)</f>
        <v>0.774465</v>
      </c>
      <c r="R310" s="17">
        <f t="shared" si="3"/>
        <v>451924.8772</v>
      </c>
    </row>
    <row r="311">
      <c r="A311" s="7">
        <v>43919.59895452546</v>
      </c>
      <c r="B311" s="18" t="s">
        <v>18</v>
      </c>
      <c r="C311" s="19"/>
      <c r="D311" s="18" t="s">
        <v>1160</v>
      </c>
      <c r="E311" s="18" t="s">
        <v>1161</v>
      </c>
      <c r="F311" s="18"/>
      <c r="G311" s="19" t="s">
        <v>1162</v>
      </c>
      <c r="H311" s="21" t="s">
        <v>832</v>
      </c>
      <c r="I311" s="21" t="s">
        <v>39</v>
      </c>
      <c r="J311" s="11">
        <v>140000.0</v>
      </c>
      <c r="K311" s="21" t="s">
        <v>833</v>
      </c>
      <c r="L311" s="25">
        <v>43041.0</v>
      </c>
      <c r="M311" s="24" t="s">
        <v>1163</v>
      </c>
      <c r="N311" s="12" t="s">
        <v>1164</v>
      </c>
      <c r="O311" s="15">
        <f t="shared" si="1"/>
        <v>2017</v>
      </c>
      <c r="P311" s="16" t="str">
        <f t="shared" si="2"/>
        <v>GBP</v>
      </c>
      <c r="Q311" s="15">
        <f>IFERROR(__xludf.DUMMYFUNCTION("IFNA(INDEX(GOOGLEFINANCE(""Currency:USD""&amp;$P311,""price"",DATE(YEAR($L311),MONTH($L311),DAY($L311))),2,2),LOOKUP(P311,CurrencyCodes,UnitsPerUSD))"),0.76609)</f>
        <v>0.76609</v>
      </c>
      <c r="R311" s="17">
        <f t="shared" si="3"/>
        <v>182746.1525</v>
      </c>
    </row>
    <row r="312">
      <c r="A312" s="7">
        <v>43920.88579173612</v>
      </c>
      <c r="B312" s="18" t="s">
        <v>18</v>
      </c>
      <c r="C312" s="19"/>
      <c r="D312" s="18" t="s">
        <v>1165</v>
      </c>
      <c r="E312" s="18" t="s">
        <v>1166</v>
      </c>
      <c r="F312" s="18"/>
      <c r="G312" s="19"/>
      <c r="H312" s="21" t="s">
        <v>832</v>
      </c>
      <c r="I312" s="21" t="s">
        <v>39</v>
      </c>
      <c r="J312" s="11">
        <v>250000.0</v>
      </c>
      <c r="K312" s="21" t="s">
        <v>833</v>
      </c>
      <c r="L312" s="22"/>
      <c r="M312" s="31" t="s">
        <v>932</v>
      </c>
      <c r="N312" s="10"/>
      <c r="O312" s="15" t="str">
        <f t="shared" si="1"/>
        <v>Unknown</v>
      </c>
      <c r="P312" s="16" t="str">
        <f t="shared" si="2"/>
        <v>GBP</v>
      </c>
      <c r="Q312" s="15">
        <f>IFERROR(__xludf.DUMMYFUNCTION("IFNA(INDEX(GOOGLEFINANCE(""Currency:USD""&amp;$P312,""price"",DATE(YEAR($L312),MONTH($L312),DAY($L312))),2,2),LOOKUP(P312,CurrencyCodes,UnitsPerUSD))"),0.8143333168)</f>
        <v>0.8143333168</v>
      </c>
      <c r="R312" s="17">
        <f t="shared" si="3"/>
        <v>306999.5969</v>
      </c>
    </row>
    <row r="313">
      <c r="A313" s="7">
        <v>43898.5442562963</v>
      </c>
      <c r="B313" s="18" t="s">
        <v>18</v>
      </c>
      <c r="C313" s="19"/>
      <c r="D313" s="18" t="s">
        <v>1167</v>
      </c>
      <c r="E313" s="18" t="s">
        <v>1168</v>
      </c>
      <c r="F313" s="18"/>
      <c r="G313" s="9"/>
      <c r="H313" s="21" t="s">
        <v>832</v>
      </c>
      <c r="I313" s="21" t="s">
        <v>39</v>
      </c>
      <c r="J313" s="11">
        <v>150000.0</v>
      </c>
      <c r="K313" s="21" t="s">
        <v>833</v>
      </c>
      <c r="L313" s="22"/>
      <c r="M313" s="31" t="s">
        <v>1169</v>
      </c>
      <c r="N313" s="21"/>
      <c r="O313" s="15" t="str">
        <f t="shared" si="1"/>
        <v>Unknown</v>
      </c>
      <c r="P313" s="16" t="str">
        <f t="shared" si="2"/>
        <v>GBP</v>
      </c>
      <c r="Q313" s="15">
        <f>IFERROR(__xludf.DUMMYFUNCTION("IFNA(INDEX(GOOGLEFINANCE(""Currency:USD""&amp;$P313,""price"",DATE(YEAR($L313),MONTH($L313),DAY($L313))),2,2),LOOKUP(P313,CurrencyCodes,UnitsPerUSD))"),0.8143333168)</f>
        <v>0.8143333168</v>
      </c>
      <c r="R313" s="17">
        <f t="shared" si="3"/>
        <v>184199.7581</v>
      </c>
    </row>
    <row r="314">
      <c r="A314" s="7">
        <v>43908.82070913195</v>
      </c>
      <c r="B314" s="8" t="s">
        <v>18</v>
      </c>
      <c r="C314" s="9">
        <v>1311.0</v>
      </c>
      <c r="D314" s="8" t="s">
        <v>1170</v>
      </c>
      <c r="E314" s="8" t="s">
        <v>1171</v>
      </c>
      <c r="F314" s="8" t="s">
        <v>1172</v>
      </c>
      <c r="G314" s="9">
        <v>99611.0</v>
      </c>
      <c r="H314" s="10" t="s">
        <v>1173</v>
      </c>
      <c r="I314" s="10" t="s">
        <v>39</v>
      </c>
      <c r="J314" s="11">
        <v>249000.0</v>
      </c>
      <c r="K314" s="10" t="s">
        <v>25</v>
      </c>
      <c r="L314" s="25">
        <v>41481.0</v>
      </c>
      <c r="M314" s="28" t="s">
        <v>1174</v>
      </c>
      <c r="N314" s="10" t="s">
        <v>1175</v>
      </c>
      <c r="O314" s="15">
        <f t="shared" si="1"/>
        <v>2013</v>
      </c>
      <c r="P314" s="16" t="str">
        <f t="shared" si="2"/>
        <v>USD</v>
      </c>
      <c r="Q314" s="15">
        <f>IFERROR(__xludf.DUMMYFUNCTION("IFNA(INDEX(GOOGLEFINANCE(""Currency:USD""&amp;$P314,""price"",DATE(YEAR($L314),MONTH($L314),DAY($L314))),2,2),LOOKUP(P314,CurrencyCodes,UnitsPerUSD))"),1.0)</f>
        <v>1</v>
      </c>
      <c r="R314" s="17">
        <f t="shared" si="3"/>
        <v>249000</v>
      </c>
    </row>
    <row r="315">
      <c r="A315" s="7">
        <v>43896.910560358796</v>
      </c>
      <c r="B315" s="18" t="s">
        <v>189</v>
      </c>
      <c r="C315" s="19" t="s">
        <v>1176</v>
      </c>
      <c r="D315" s="18" t="s">
        <v>1177</v>
      </c>
      <c r="E315" s="18" t="s">
        <v>1178</v>
      </c>
      <c r="F315" s="18" t="s">
        <v>1179</v>
      </c>
      <c r="G315" s="9"/>
      <c r="H315" s="21" t="s">
        <v>1173</v>
      </c>
      <c r="I315" s="21" t="s">
        <v>39</v>
      </c>
      <c r="J315" s="11">
        <v>895000.0</v>
      </c>
      <c r="K315" s="21" t="s">
        <v>25</v>
      </c>
      <c r="L315" s="25">
        <v>43630.0</v>
      </c>
      <c r="M315" s="21"/>
      <c r="N315" s="21"/>
      <c r="O315" s="15">
        <f t="shared" si="1"/>
        <v>2019</v>
      </c>
      <c r="P315" s="16" t="str">
        <f t="shared" si="2"/>
        <v>USD</v>
      </c>
      <c r="Q315" s="15">
        <f>IFERROR(__xludf.DUMMYFUNCTION("IFNA(INDEX(GOOGLEFINANCE(""Currency:USD""&amp;$P315,""price"",DATE(YEAR($L315),MONTH($L315),DAY($L315))),2,2),LOOKUP(P315,CurrencyCodes,UnitsPerUSD))"),1.0)</f>
        <v>1</v>
      </c>
      <c r="R315" s="17">
        <f t="shared" si="3"/>
        <v>895000</v>
      </c>
    </row>
    <row r="316">
      <c r="A316" s="7">
        <v>43938.217213344906</v>
      </c>
      <c r="B316" s="18" t="s">
        <v>18</v>
      </c>
      <c r="C316" s="9">
        <v>700.0</v>
      </c>
      <c r="D316" s="8" t="s">
        <v>1180</v>
      </c>
      <c r="E316" s="18" t="s">
        <v>846</v>
      </c>
      <c r="F316" s="18" t="s">
        <v>1179</v>
      </c>
      <c r="G316" s="9">
        <v>35217.0</v>
      </c>
      <c r="H316" s="21" t="s">
        <v>1173</v>
      </c>
      <c r="I316" s="21" t="s">
        <v>39</v>
      </c>
      <c r="J316" s="11">
        <v>0.0</v>
      </c>
      <c r="K316" s="27" t="s">
        <v>25</v>
      </c>
      <c r="L316" s="22"/>
      <c r="M316" s="28" t="s">
        <v>1181</v>
      </c>
      <c r="N316" s="21" t="s">
        <v>1182</v>
      </c>
      <c r="O316" s="15" t="str">
        <f t="shared" si="1"/>
        <v>Unknown</v>
      </c>
      <c r="P316" s="16" t="str">
        <f t="shared" si="2"/>
        <v>USD</v>
      </c>
      <c r="Q316" s="15">
        <f>IFERROR(__xludf.DUMMYFUNCTION("IFNA(INDEX(GOOGLEFINANCE(""Currency:USD""&amp;$P316,""price"",DATE(YEAR($L316),MONTH($L316),DAY($L316))),2,2),LOOKUP(P316,CurrencyCodes,UnitsPerUSD))"),1.0)</f>
        <v>1</v>
      </c>
      <c r="R316" s="17">
        <f t="shared" si="3"/>
        <v>0</v>
      </c>
    </row>
    <row r="317">
      <c r="A317" s="7">
        <v>44013.38921657407</v>
      </c>
      <c r="B317" s="18" t="s">
        <v>18</v>
      </c>
      <c r="C317" s="9">
        <v>110.0</v>
      </c>
      <c r="D317" s="18" t="s">
        <v>1183</v>
      </c>
      <c r="E317" s="18" t="s">
        <v>1184</v>
      </c>
      <c r="F317" s="8" t="s">
        <v>1179</v>
      </c>
      <c r="G317" s="9">
        <v>35062.0</v>
      </c>
      <c r="H317" s="21" t="s">
        <v>1173</v>
      </c>
      <c r="I317" s="21" t="s">
        <v>39</v>
      </c>
      <c r="J317" s="11">
        <v>55000.0</v>
      </c>
      <c r="K317" s="21" t="s">
        <v>25</v>
      </c>
      <c r="L317" s="25">
        <v>43993.0</v>
      </c>
      <c r="M317" s="28" t="s">
        <v>1185</v>
      </c>
      <c r="N317" s="21" t="s">
        <v>1186</v>
      </c>
      <c r="O317" s="15">
        <f t="shared" si="1"/>
        <v>2020</v>
      </c>
      <c r="P317" s="16" t="str">
        <f t="shared" si="2"/>
        <v>USD</v>
      </c>
      <c r="Q317" s="15">
        <f>IFERROR(__xludf.DUMMYFUNCTION("IFNA(INDEX(GOOGLEFINANCE(""Currency:USD""&amp;$P317,""price"",DATE(YEAR($L317),MONTH($L317),DAY($L317))),2,2),LOOKUP(P317,CurrencyCodes,UnitsPerUSD))"),1.0)</f>
        <v>1</v>
      </c>
      <c r="R317" s="17">
        <f t="shared" si="3"/>
        <v>55000</v>
      </c>
    </row>
    <row r="318">
      <c r="A318" s="7">
        <v>43938.22347591435</v>
      </c>
      <c r="B318" s="18" t="s">
        <v>18</v>
      </c>
      <c r="C318" s="19">
        <v>2822.0</v>
      </c>
      <c r="D318" s="8" t="s">
        <v>1187</v>
      </c>
      <c r="E318" s="18" t="s">
        <v>1188</v>
      </c>
      <c r="F318" s="18" t="s">
        <v>1179</v>
      </c>
      <c r="G318" s="9">
        <v>35903.0</v>
      </c>
      <c r="H318" s="21" t="s">
        <v>1173</v>
      </c>
      <c r="I318" s="21" t="s">
        <v>39</v>
      </c>
      <c r="J318" s="11">
        <v>0.0</v>
      </c>
      <c r="K318" s="27" t="s">
        <v>25</v>
      </c>
      <c r="L318" s="22"/>
      <c r="M318" s="28" t="s">
        <v>1189</v>
      </c>
      <c r="N318" s="21" t="s">
        <v>1190</v>
      </c>
      <c r="O318" s="15" t="str">
        <f t="shared" si="1"/>
        <v>Unknown</v>
      </c>
      <c r="P318" s="16" t="str">
        <f t="shared" si="2"/>
        <v>USD</v>
      </c>
      <c r="Q318" s="15">
        <f>IFERROR(__xludf.DUMMYFUNCTION("IFNA(INDEX(GOOGLEFINANCE(""Currency:USD""&amp;$P318,""price"",DATE(YEAR($L318),MONTH($L318),DAY($L318))),2,2),LOOKUP(P318,CurrencyCodes,UnitsPerUSD))"),1.0)</f>
        <v>1</v>
      </c>
      <c r="R318" s="17">
        <f t="shared" si="3"/>
        <v>0</v>
      </c>
    </row>
    <row r="319">
      <c r="A319" s="7">
        <v>43994.72941866898</v>
      </c>
      <c r="B319" s="18" t="s">
        <v>18</v>
      </c>
      <c r="C319" s="19">
        <v>4602.0</v>
      </c>
      <c r="D319" s="18" t="s">
        <v>1191</v>
      </c>
      <c r="E319" s="18" t="s">
        <v>1192</v>
      </c>
      <c r="F319" s="18" t="s">
        <v>1179</v>
      </c>
      <c r="G319" s="19">
        <v>36869.0</v>
      </c>
      <c r="H319" s="21" t="s">
        <v>1173</v>
      </c>
      <c r="I319" s="21" t="s">
        <v>24</v>
      </c>
      <c r="J319" s="11">
        <v>179900.0</v>
      </c>
      <c r="K319" s="21" t="s">
        <v>25</v>
      </c>
      <c r="L319" s="25">
        <v>43993.0</v>
      </c>
      <c r="M319" s="31" t="s">
        <v>1193</v>
      </c>
      <c r="N319" s="10"/>
      <c r="O319" s="15">
        <f t="shared" si="1"/>
        <v>2020</v>
      </c>
      <c r="P319" s="16" t="str">
        <f t="shared" si="2"/>
        <v>USD</v>
      </c>
      <c r="Q319" s="15">
        <f>IFERROR(__xludf.DUMMYFUNCTION("IFNA(INDEX(GOOGLEFINANCE(""Currency:USD""&amp;$P319,""price"",DATE(YEAR($L319),MONTH($L319),DAY($L319))),2,2),LOOKUP(P319,CurrencyCodes,UnitsPerUSD))"),1.0)</f>
        <v>1</v>
      </c>
      <c r="R319" s="17">
        <f t="shared" si="3"/>
        <v>179900</v>
      </c>
    </row>
    <row r="320">
      <c r="A320" s="7">
        <v>43938.20853712963</v>
      </c>
      <c r="B320" s="18" t="s">
        <v>18</v>
      </c>
      <c r="C320" s="19">
        <v>1929.0</v>
      </c>
      <c r="D320" s="18" t="s">
        <v>1194</v>
      </c>
      <c r="E320" s="18" t="s">
        <v>1195</v>
      </c>
      <c r="F320" s="18" t="s">
        <v>1179</v>
      </c>
      <c r="G320" s="19">
        <v>35216.0</v>
      </c>
      <c r="H320" s="21" t="s">
        <v>1173</v>
      </c>
      <c r="I320" s="21" t="s">
        <v>39</v>
      </c>
      <c r="J320" s="11">
        <v>200000.0</v>
      </c>
      <c r="K320" s="21" t="s">
        <v>25</v>
      </c>
      <c r="L320" s="25">
        <v>41102.0</v>
      </c>
      <c r="M320" s="24" t="s">
        <v>1196</v>
      </c>
      <c r="N320" s="21" t="s">
        <v>1197</v>
      </c>
      <c r="O320" s="15">
        <f t="shared" si="1"/>
        <v>2012</v>
      </c>
      <c r="P320" s="16" t="str">
        <f t="shared" si="2"/>
        <v>USD</v>
      </c>
      <c r="Q320" s="15">
        <f>IFERROR(__xludf.DUMMYFUNCTION("IFNA(INDEX(GOOGLEFINANCE(""Currency:USD""&amp;$P320,""price"",DATE(YEAR($L320),MONTH($L320),DAY($L320))),2,2),LOOKUP(P320,CurrencyCodes,UnitsPerUSD))"),1.0)</f>
        <v>1</v>
      </c>
      <c r="R320" s="17">
        <f t="shared" si="3"/>
        <v>200000</v>
      </c>
    </row>
    <row r="321">
      <c r="A321" s="7">
        <v>43975.92476501157</v>
      </c>
      <c r="B321" s="8" t="s">
        <v>18</v>
      </c>
      <c r="C321" s="9">
        <v>630.0</v>
      </c>
      <c r="D321" s="8" t="s">
        <v>1198</v>
      </c>
      <c r="E321" s="8" t="s">
        <v>1199</v>
      </c>
      <c r="F321" s="8" t="s">
        <v>1200</v>
      </c>
      <c r="G321" s="9">
        <v>71822.0</v>
      </c>
      <c r="H321" s="10" t="s">
        <v>1173</v>
      </c>
      <c r="I321" s="10" t="s">
        <v>39</v>
      </c>
      <c r="J321" s="11">
        <v>47000.0</v>
      </c>
      <c r="K321" s="10" t="s">
        <v>25</v>
      </c>
      <c r="L321" s="25">
        <v>40689.0</v>
      </c>
      <c r="M321" s="28" t="s">
        <v>1201</v>
      </c>
      <c r="N321" s="10" t="s">
        <v>1197</v>
      </c>
      <c r="O321" s="15">
        <f t="shared" si="1"/>
        <v>2011</v>
      </c>
      <c r="P321" s="16" t="str">
        <f t="shared" si="2"/>
        <v>USD</v>
      </c>
      <c r="Q321" s="15">
        <f>IFERROR(__xludf.DUMMYFUNCTION("IFNA(INDEX(GOOGLEFINANCE(""Currency:USD""&amp;$P321,""price"",DATE(YEAR($L321),MONTH($L321),DAY($L321))),2,2),LOOKUP(P321,CurrencyCodes,UnitsPerUSD))"),1.0)</f>
        <v>1</v>
      </c>
      <c r="R321" s="17">
        <f t="shared" si="3"/>
        <v>47000</v>
      </c>
    </row>
    <row r="322">
      <c r="A322" s="7">
        <v>43975.937726261574</v>
      </c>
      <c r="B322" s="8" t="s">
        <v>18</v>
      </c>
      <c r="C322" s="9">
        <v>1367.0</v>
      </c>
      <c r="D322" s="8" t="s">
        <v>1202</v>
      </c>
      <c r="E322" s="8" t="s">
        <v>1203</v>
      </c>
      <c r="F322" s="8" t="s">
        <v>1200</v>
      </c>
      <c r="G322" s="9">
        <v>72031.0</v>
      </c>
      <c r="H322" s="10" t="s">
        <v>1173</v>
      </c>
      <c r="I322" s="10" t="s">
        <v>39</v>
      </c>
      <c r="J322" s="11">
        <v>0.0</v>
      </c>
      <c r="K322" s="12" t="s">
        <v>25</v>
      </c>
      <c r="L322" s="22"/>
      <c r="M322" s="28" t="s">
        <v>1204</v>
      </c>
      <c r="N322" s="10" t="s">
        <v>1205</v>
      </c>
      <c r="O322" s="15" t="str">
        <f t="shared" si="1"/>
        <v>Unknown</v>
      </c>
      <c r="P322" s="16" t="str">
        <f t="shared" si="2"/>
        <v>USD</v>
      </c>
      <c r="Q322" s="15">
        <f>IFERROR(__xludf.DUMMYFUNCTION("IFNA(INDEX(GOOGLEFINANCE(""Currency:USD""&amp;$P322,""price"",DATE(YEAR($L322),MONTH($L322),DAY($L322))),2,2),LOOKUP(P322,CurrencyCodes,UnitsPerUSD))"),1.0)</f>
        <v>1</v>
      </c>
      <c r="R322" s="17">
        <f t="shared" si="3"/>
        <v>0</v>
      </c>
    </row>
    <row r="323">
      <c r="A323" s="7">
        <v>43975.94675540509</v>
      </c>
      <c r="B323" s="18" t="s">
        <v>18</v>
      </c>
      <c r="C323" s="9">
        <v>402.0</v>
      </c>
      <c r="D323" s="8" t="s">
        <v>1206</v>
      </c>
      <c r="E323" s="8" t="s">
        <v>1207</v>
      </c>
      <c r="F323" s="8" t="s">
        <v>1200</v>
      </c>
      <c r="G323" s="9">
        <v>71635.0</v>
      </c>
      <c r="H323" s="10" t="s">
        <v>1173</v>
      </c>
      <c r="I323" s="10" t="s">
        <v>24</v>
      </c>
      <c r="J323" s="11">
        <v>122500.0</v>
      </c>
      <c r="K323" s="12" t="s">
        <v>25</v>
      </c>
      <c r="L323" s="13"/>
      <c r="M323" s="28" t="s">
        <v>1208</v>
      </c>
      <c r="N323" s="12" t="s">
        <v>1209</v>
      </c>
      <c r="O323" s="15" t="str">
        <f t="shared" si="1"/>
        <v>Unknown</v>
      </c>
      <c r="P323" s="16" t="str">
        <f t="shared" si="2"/>
        <v>USD</v>
      </c>
      <c r="Q323" s="15">
        <f>IFERROR(__xludf.DUMMYFUNCTION("IFNA(INDEX(GOOGLEFINANCE(""Currency:USD""&amp;$P323,""price"",DATE(YEAR($L323),MONTH($L323),DAY($L323))),2,2),LOOKUP(P323,CurrencyCodes,UnitsPerUSD))"),1.0)</f>
        <v>1</v>
      </c>
      <c r="R323" s="17">
        <f t="shared" si="3"/>
        <v>122500</v>
      </c>
    </row>
    <row r="324">
      <c r="A324" s="7">
        <v>43975.99370181713</v>
      </c>
      <c r="B324" s="8" t="s">
        <v>18</v>
      </c>
      <c r="C324" s="9">
        <v>3330.0</v>
      </c>
      <c r="D324" s="8" t="s">
        <v>1210</v>
      </c>
      <c r="E324" s="8" t="s">
        <v>1211</v>
      </c>
      <c r="F324" s="8" t="s">
        <v>1200</v>
      </c>
      <c r="G324" s="9">
        <v>71730.0</v>
      </c>
      <c r="H324" s="10" t="s">
        <v>1173</v>
      </c>
      <c r="I324" s="10" t="s">
        <v>39</v>
      </c>
      <c r="J324" s="11">
        <v>150000.0</v>
      </c>
      <c r="K324" s="10" t="s">
        <v>25</v>
      </c>
      <c r="L324" s="25">
        <v>39370.0</v>
      </c>
      <c r="M324" s="28" t="s">
        <v>1212</v>
      </c>
      <c r="N324" s="10" t="s">
        <v>1213</v>
      </c>
      <c r="O324" s="15">
        <f t="shared" si="1"/>
        <v>2007</v>
      </c>
      <c r="P324" s="16" t="str">
        <f t="shared" si="2"/>
        <v>USD</v>
      </c>
      <c r="Q324" s="15">
        <f>IFERROR(__xludf.DUMMYFUNCTION("IFNA(INDEX(GOOGLEFINANCE(""Currency:USD""&amp;$P324,""price"",DATE(YEAR($L324),MONTH($L324),DAY($L324))),2,2),LOOKUP(P324,CurrencyCodes,UnitsPerUSD))"),1.0)</f>
        <v>1</v>
      </c>
      <c r="R324" s="17">
        <f t="shared" si="3"/>
        <v>150000</v>
      </c>
    </row>
    <row r="325">
      <c r="A325" s="7">
        <v>43976.446329791666</v>
      </c>
      <c r="B325" s="8" t="s">
        <v>18</v>
      </c>
      <c r="C325" s="9">
        <v>706.0</v>
      </c>
      <c r="D325" s="8" t="s">
        <v>1214</v>
      </c>
      <c r="E325" s="8" t="s">
        <v>1215</v>
      </c>
      <c r="F325" s="8" t="s">
        <v>1200</v>
      </c>
      <c r="G325" s="9">
        <v>72901.0</v>
      </c>
      <c r="H325" s="10" t="s">
        <v>1173</v>
      </c>
      <c r="I325" s="10" t="s">
        <v>39</v>
      </c>
      <c r="J325" s="11">
        <v>80000.0</v>
      </c>
      <c r="K325" s="10" t="s">
        <v>25</v>
      </c>
      <c r="L325" s="25">
        <v>43774.0</v>
      </c>
      <c r="M325" s="28" t="s">
        <v>1216</v>
      </c>
      <c r="N325" s="12" t="s">
        <v>1217</v>
      </c>
      <c r="O325" s="15">
        <f t="shared" si="1"/>
        <v>2019</v>
      </c>
      <c r="P325" s="16" t="str">
        <f t="shared" si="2"/>
        <v>USD</v>
      </c>
      <c r="Q325" s="15">
        <f>IFERROR(__xludf.DUMMYFUNCTION("IFNA(INDEX(GOOGLEFINANCE(""Currency:USD""&amp;$P325,""price"",DATE(YEAR($L325),MONTH($L325),DAY($L325))),2,2),LOOKUP(P325,CurrencyCodes,UnitsPerUSD))"),1.0)</f>
        <v>1</v>
      </c>
      <c r="R325" s="17">
        <f t="shared" si="3"/>
        <v>80000</v>
      </c>
    </row>
    <row r="326">
      <c r="A326" s="7">
        <v>43976.0184825</v>
      </c>
      <c r="B326" s="8" t="s">
        <v>18</v>
      </c>
      <c r="C326" s="9">
        <v>3509.0</v>
      </c>
      <c r="D326" s="8" t="s">
        <v>1218</v>
      </c>
      <c r="E326" s="8" t="s">
        <v>1219</v>
      </c>
      <c r="F326" s="8" t="s">
        <v>1200</v>
      </c>
      <c r="G326" s="9">
        <v>72904.0</v>
      </c>
      <c r="H326" s="10" t="s">
        <v>1173</v>
      </c>
      <c r="I326" s="10" t="s">
        <v>39</v>
      </c>
      <c r="J326" s="11">
        <v>105500.0</v>
      </c>
      <c r="K326" s="12" t="s">
        <v>25</v>
      </c>
      <c r="L326" s="22"/>
      <c r="M326" s="28" t="s">
        <v>1220</v>
      </c>
      <c r="N326" s="10" t="s">
        <v>1221</v>
      </c>
      <c r="O326" s="15" t="str">
        <f t="shared" si="1"/>
        <v>Unknown</v>
      </c>
      <c r="P326" s="16" t="str">
        <f t="shared" si="2"/>
        <v>USD</v>
      </c>
      <c r="Q326" s="15">
        <f>IFERROR(__xludf.DUMMYFUNCTION("IFNA(INDEX(GOOGLEFINANCE(""Currency:USD""&amp;$P326,""price"",DATE(YEAR($L326),MONTH($L326),DAY($L326))),2,2),LOOKUP(P326,CurrencyCodes,UnitsPerUSD))"),1.0)</f>
        <v>1</v>
      </c>
      <c r="R326" s="17">
        <f t="shared" si="3"/>
        <v>105500</v>
      </c>
    </row>
    <row r="327">
      <c r="A327" s="7">
        <v>43976.03042072916</v>
      </c>
      <c r="B327" s="18" t="s">
        <v>18</v>
      </c>
      <c r="C327" s="9">
        <v>208.0</v>
      </c>
      <c r="D327" s="8" t="s">
        <v>1222</v>
      </c>
      <c r="E327" s="8" t="s">
        <v>1223</v>
      </c>
      <c r="F327" s="8" t="s">
        <v>1200</v>
      </c>
      <c r="G327" s="9">
        <v>72736.0</v>
      </c>
      <c r="H327" s="10" t="s">
        <v>1173</v>
      </c>
      <c r="I327" s="10" t="s">
        <v>39</v>
      </c>
      <c r="J327" s="11">
        <v>108000.0</v>
      </c>
      <c r="K327" s="10" t="s">
        <v>25</v>
      </c>
      <c r="L327" s="25">
        <v>38440.0</v>
      </c>
      <c r="M327" s="14" t="s">
        <v>1224</v>
      </c>
      <c r="N327" s="10"/>
      <c r="O327" s="15">
        <f t="shared" si="1"/>
        <v>2005</v>
      </c>
      <c r="P327" s="16" t="str">
        <f t="shared" si="2"/>
        <v>USD</v>
      </c>
      <c r="Q327" s="15">
        <f>IFERROR(__xludf.DUMMYFUNCTION("IFNA(INDEX(GOOGLEFINANCE(""Currency:USD""&amp;$P327,""price"",DATE(YEAR($L327),MONTH($L327),DAY($L327))),2,2),LOOKUP(P327,CurrencyCodes,UnitsPerUSD))"),1.0)</f>
        <v>1</v>
      </c>
      <c r="R327" s="17">
        <f t="shared" si="3"/>
        <v>108000</v>
      </c>
    </row>
    <row r="328">
      <c r="A328" s="7">
        <v>43976.32379038194</v>
      </c>
      <c r="B328" s="8" t="s">
        <v>18</v>
      </c>
      <c r="C328" s="9">
        <v>1000.0</v>
      </c>
      <c r="D328" s="8" t="s">
        <v>1225</v>
      </c>
      <c r="E328" s="8" t="s">
        <v>1226</v>
      </c>
      <c r="F328" s="8" t="s">
        <v>1200</v>
      </c>
      <c r="G328" s="9">
        <v>72211.0</v>
      </c>
      <c r="H328" s="10" t="s">
        <v>1173</v>
      </c>
      <c r="I328" s="10" t="s">
        <v>39</v>
      </c>
      <c r="J328" s="11">
        <v>51500.0</v>
      </c>
      <c r="K328" s="10" t="s">
        <v>25</v>
      </c>
      <c r="L328" s="25">
        <v>42654.0</v>
      </c>
      <c r="M328" s="28" t="s">
        <v>1227</v>
      </c>
      <c r="N328" s="12" t="s">
        <v>1228</v>
      </c>
      <c r="O328" s="15">
        <f t="shared" si="1"/>
        <v>2016</v>
      </c>
      <c r="P328" s="16" t="str">
        <f t="shared" si="2"/>
        <v>USD</v>
      </c>
      <c r="Q328" s="15">
        <f>IFERROR(__xludf.DUMMYFUNCTION("IFNA(INDEX(GOOGLEFINANCE(""Currency:USD""&amp;$P328,""price"",DATE(YEAR($L328),MONTH($L328),DAY($L328))),2,2),LOOKUP(P328,CurrencyCodes,UnitsPerUSD))"),1.0)</f>
        <v>1</v>
      </c>
      <c r="R328" s="17">
        <f t="shared" si="3"/>
        <v>51500</v>
      </c>
    </row>
    <row r="329">
      <c r="A329" s="7">
        <v>43959.27659658565</v>
      </c>
      <c r="B329" s="8" t="s">
        <v>18</v>
      </c>
      <c r="C329" s="9">
        <v>718.0</v>
      </c>
      <c r="D329" s="8" t="s">
        <v>1151</v>
      </c>
      <c r="E329" s="8" t="s">
        <v>1229</v>
      </c>
      <c r="F329" s="8" t="s">
        <v>1200</v>
      </c>
      <c r="G329" s="9">
        <v>72086.0</v>
      </c>
      <c r="H329" s="10" t="s">
        <v>1173</v>
      </c>
      <c r="I329" s="10" t="s">
        <v>39</v>
      </c>
      <c r="J329" s="11">
        <v>30000.0</v>
      </c>
      <c r="K329" s="10" t="s">
        <v>25</v>
      </c>
      <c r="L329" s="25">
        <v>43656.0</v>
      </c>
      <c r="M329" s="14" t="s">
        <v>1230</v>
      </c>
      <c r="N329" s="10"/>
      <c r="O329" s="15">
        <f t="shared" si="1"/>
        <v>2019</v>
      </c>
      <c r="P329" s="16" t="str">
        <f t="shared" si="2"/>
        <v>USD</v>
      </c>
      <c r="Q329" s="15">
        <f>IFERROR(__xludf.DUMMYFUNCTION("IFNA(INDEX(GOOGLEFINANCE(""Currency:USD""&amp;$P329,""price"",DATE(YEAR($L329),MONTH($L329),DAY($L329))),2,2),LOOKUP(P329,CurrencyCodes,UnitsPerUSD))"),1.0)</f>
        <v>1</v>
      </c>
      <c r="R329" s="17">
        <f t="shared" si="3"/>
        <v>30000</v>
      </c>
    </row>
    <row r="330">
      <c r="A330" s="7">
        <v>43976.34424924769</v>
      </c>
      <c r="B330" s="18" t="s">
        <v>18</v>
      </c>
      <c r="C330" s="9">
        <v>9625.0</v>
      </c>
      <c r="D330" s="8" t="s">
        <v>1231</v>
      </c>
      <c r="E330" s="18" t="s">
        <v>1232</v>
      </c>
      <c r="F330" s="8" t="s">
        <v>1200</v>
      </c>
      <c r="G330" s="9">
        <v>72946.0</v>
      </c>
      <c r="H330" s="21" t="s">
        <v>1173</v>
      </c>
      <c r="I330" s="21" t="s">
        <v>39</v>
      </c>
      <c r="J330" s="11">
        <v>0.0</v>
      </c>
      <c r="K330" s="27" t="s">
        <v>25</v>
      </c>
      <c r="L330" s="22"/>
      <c r="M330" s="28" t="s">
        <v>1233</v>
      </c>
      <c r="N330" s="10" t="s">
        <v>1234</v>
      </c>
      <c r="O330" s="15" t="str">
        <f t="shared" si="1"/>
        <v>Unknown</v>
      </c>
      <c r="P330" s="16" t="str">
        <f t="shared" si="2"/>
        <v>USD</v>
      </c>
      <c r="Q330" s="15">
        <f>IFERROR(__xludf.DUMMYFUNCTION("IFNA(INDEX(GOOGLEFINANCE(""Currency:USD""&amp;$P330,""price"",DATE(YEAR($L330),MONTH($L330),DAY($L330))),2,2),LOOKUP(P330,CurrencyCodes,UnitsPerUSD))"),1.0)</f>
        <v>1</v>
      </c>
      <c r="R330" s="17">
        <f t="shared" si="3"/>
        <v>0</v>
      </c>
    </row>
    <row r="331">
      <c r="A331" s="7">
        <v>43916.88311113426</v>
      </c>
      <c r="B331" s="8" t="s">
        <v>18</v>
      </c>
      <c r="C331" s="9"/>
      <c r="D331" s="8"/>
      <c r="E331" s="8" t="s">
        <v>1235</v>
      </c>
      <c r="F331" s="8" t="s">
        <v>1200</v>
      </c>
      <c r="G331" s="9">
        <v>72855.0</v>
      </c>
      <c r="H331" s="10" t="s">
        <v>1173</v>
      </c>
      <c r="I331" s="10" t="s">
        <v>39</v>
      </c>
      <c r="J331" s="11">
        <v>0.0</v>
      </c>
      <c r="K331" s="12" t="s">
        <v>25</v>
      </c>
      <c r="L331" s="22"/>
      <c r="M331" s="10"/>
      <c r="N331" s="10" t="s">
        <v>175</v>
      </c>
      <c r="O331" s="15" t="str">
        <f t="shared" si="1"/>
        <v>Unknown</v>
      </c>
      <c r="P331" s="16" t="str">
        <f t="shared" si="2"/>
        <v>USD</v>
      </c>
      <c r="Q331" s="15">
        <f>IFERROR(__xludf.DUMMYFUNCTION("IFNA(INDEX(GOOGLEFINANCE(""Currency:USD""&amp;$P331,""price"",DATE(YEAR($L331),MONTH($L331),DAY($L331))),2,2),LOOKUP(P331,CurrencyCodes,UnitsPerUSD))"),1.0)</f>
        <v>1</v>
      </c>
      <c r="R331" s="17">
        <f t="shared" si="3"/>
        <v>0</v>
      </c>
    </row>
    <row r="332">
      <c r="A332" s="7">
        <v>43918.95099673611</v>
      </c>
      <c r="B332" s="8" t="s">
        <v>18</v>
      </c>
      <c r="C332" s="9">
        <v>2723.0</v>
      </c>
      <c r="D332" s="8" t="s">
        <v>1236</v>
      </c>
      <c r="E332" s="8" t="s">
        <v>1237</v>
      </c>
      <c r="F332" s="8" t="s">
        <v>1200</v>
      </c>
      <c r="G332" s="9">
        <v>72143.0</v>
      </c>
      <c r="H332" s="10" t="s">
        <v>1173</v>
      </c>
      <c r="I332" s="10" t="s">
        <v>39</v>
      </c>
      <c r="J332" s="11">
        <v>280000.0</v>
      </c>
      <c r="K332" s="10" t="s">
        <v>25</v>
      </c>
      <c r="L332" s="25">
        <v>43697.0</v>
      </c>
      <c r="M332" s="14" t="s">
        <v>1238</v>
      </c>
      <c r="N332" s="10"/>
      <c r="O332" s="15">
        <f t="shared" si="1"/>
        <v>2019</v>
      </c>
      <c r="P332" s="16" t="str">
        <f t="shared" si="2"/>
        <v>USD</v>
      </c>
      <c r="Q332" s="15">
        <f>IFERROR(__xludf.DUMMYFUNCTION("IFNA(INDEX(GOOGLEFINANCE(""Currency:USD""&amp;$P332,""price"",DATE(YEAR($L332),MONTH($L332),DAY($L332))),2,2),LOOKUP(P332,CurrencyCodes,UnitsPerUSD))"),1.0)</f>
        <v>1</v>
      </c>
      <c r="R332" s="17">
        <f t="shared" si="3"/>
        <v>280000</v>
      </c>
    </row>
    <row r="333">
      <c r="A333" s="7">
        <v>43981.923603125004</v>
      </c>
      <c r="B333" s="8" t="s">
        <v>18</v>
      </c>
      <c r="C333" s="9">
        <v>5601.0</v>
      </c>
      <c r="D333" s="8" t="s">
        <v>1239</v>
      </c>
      <c r="E333" s="8" t="s">
        <v>1240</v>
      </c>
      <c r="F333" s="8" t="s">
        <v>1200</v>
      </c>
      <c r="G333" s="9">
        <v>71602.0</v>
      </c>
      <c r="H333" s="10" t="s">
        <v>1173</v>
      </c>
      <c r="I333" s="10" t="s">
        <v>39</v>
      </c>
      <c r="J333" s="11">
        <v>70000.0</v>
      </c>
      <c r="K333" s="10" t="s">
        <v>25</v>
      </c>
      <c r="L333" s="25">
        <v>40459.0</v>
      </c>
      <c r="M333" s="28" t="s">
        <v>1241</v>
      </c>
      <c r="N333" s="12" t="s">
        <v>1242</v>
      </c>
      <c r="O333" s="15">
        <f t="shared" si="1"/>
        <v>2010</v>
      </c>
      <c r="P333" s="16" t="str">
        <f t="shared" si="2"/>
        <v>USD</v>
      </c>
      <c r="Q333" s="15">
        <f>IFERROR(__xludf.DUMMYFUNCTION("IFNA(INDEX(GOOGLEFINANCE(""Currency:USD""&amp;$P333,""price"",DATE(YEAR($L333),MONTH($L333),DAY($L333))),2,2),LOOKUP(P333,CurrencyCodes,UnitsPerUSD))"),1.0)</f>
        <v>1</v>
      </c>
      <c r="R333" s="17">
        <f t="shared" si="3"/>
        <v>70000</v>
      </c>
    </row>
    <row r="334">
      <c r="A334" s="7">
        <v>43975.35298840278</v>
      </c>
      <c r="B334" s="8" t="s">
        <v>18</v>
      </c>
      <c r="C334" s="9">
        <v>10701.0</v>
      </c>
      <c r="D334" s="8" t="s">
        <v>1243</v>
      </c>
      <c r="E334" s="8" t="s">
        <v>1244</v>
      </c>
      <c r="F334" s="8" t="s">
        <v>1245</v>
      </c>
      <c r="G334" s="9">
        <v>85220.0</v>
      </c>
      <c r="H334" s="10" t="s">
        <v>1173</v>
      </c>
      <c r="I334" s="10" t="s">
        <v>39</v>
      </c>
      <c r="J334" s="11">
        <v>325000.0</v>
      </c>
      <c r="K334" s="10" t="s">
        <v>25</v>
      </c>
      <c r="L334" s="25">
        <v>40056.0</v>
      </c>
      <c r="M334" s="28" t="s">
        <v>1246</v>
      </c>
      <c r="N334" s="10" t="s">
        <v>1247</v>
      </c>
      <c r="O334" s="15">
        <f t="shared" si="1"/>
        <v>2009</v>
      </c>
      <c r="P334" s="16" t="str">
        <f t="shared" si="2"/>
        <v>USD</v>
      </c>
      <c r="Q334" s="15">
        <f>IFERROR(__xludf.DUMMYFUNCTION("IFNA(INDEX(GOOGLEFINANCE(""Currency:USD""&amp;$P334,""price"",DATE(YEAR($L334),MONTH($L334),DAY($L334))),2,2),LOOKUP(P334,CurrencyCodes,UnitsPerUSD))"),1.0)</f>
        <v>1</v>
      </c>
      <c r="R334" s="17">
        <f t="shared" si="3"/>
        <v>325000</v>
      </c>
    </row>
    <row r="335">
      <c r="A335" s="7">
        <v>43975.30644179398</v>
      </c>
      <c r="B335" s="8" t="s">
        <v>18</v>
      </c>
      <c r="C335" s="9">
        <v>19211.0</v>
      </c>
      <c r="D335" s="8" t="s">
        <v>1248</v>
      </c>
      <c r="E335" s="8" t="s">
        <v>1249</v>
      </c>
      <c r="F335" s="8" t="s">
        <v>1245</v>
      </c>
      <c r="G335" s="9">
        <v>85324.0</v>
      </c>
      <c r="H335" s="10" t="s">
        <v>1173</v>
      </c>
      <c r="I335" s="10" t="s">
        <v>39</v>
      </c>
      <c r="J335" s="11">
        <v>40000.0</v>
      </c>
      <c r="K335" s="10" t="s">
        <v>25</v>
      </c>
      <c r="L335" s="25">
        <v>40443.0</v>
      </c>
      <c r="M335" s="28" t="s">
        <v>1250</v>
      </c>
      <c r="N335" s="12" t="s">
        <v>1251</v>
      </c>
      <c r="O335" s="15">
        <f t="shared" si="1"/>
        <v>2010</v>
      </c>
      <c r="P335" s="16" t="str">
        <f t="shared" si="2"/>
        <v>USD</v>
      </c>
      <c r="Q335" s="15">
        <f>IFERROR(__xludf.DUMMYFUNCTION("IFNA(INDEX(GOOGLEFINANCE(""Currency:USD""&amp;$P335,""price"",DATE(YEAR($L335),MONTH($L335),DAY($L335))),2,2),LOOKUP(P335,CurrencyCodes,UnitsPerUSD))"),1.0)</f>
        <v>1</v>
      </c>
      <c r="R335" s="17">
        <f t="shared" si="3"/>
        <v>40000</v>
      </c>
    </row>
    <row r="336">
      <c r="A336" s="7">
        <v>43975.30220040509</v>
      </c>
      <c r="B336" s="8" t="s">
        <v>18</v>
      </c>
      <c r="C336" s="9">
        <v>401.0</v>
      </c>
      <c r="D336" s="8" t="s">
        <v>1252</v>
      </c>
      <c r="E336" s="8" t="s">
        <v>1253</v>
      </c>
      <c r="F336" s="8" t="s">
        <v>1245</v>
      </c>
      <c r="G336" s="9">
        <v>85326.0</v>
      </c>
      <c r="H336" s="10" t="s">
        <v>1173</v>
      </c>
      <c r="I336" s="10" t="s">
        <v>39</v>
      </c>
      <c r="J336" s="11">
        <v>0.0</v>
      </c>
      <c r="K336" s="12" t="s">
        <v>25</v>
      </c>
      <c r="L336" s="22"/>
      <c r="M336" s="28" t="s">
        <v>1254</v>
      </c>
      <c r="N336" s="12" t="s">
        <v>1255</v>
      </c>
      <c r="O336" s="15" t="str">
        <f t="shared" si="1"/>
        <v>Unknown</v>
      </c>
      <c r="P336" s="16" t="str">
        <f t="shared" si="2"/>
        <v>USD</v>
      </c>
      <c r="Q336" s="15">
        <f>IFERROR(__xludf.DUMMYFUNCTION("IFNA(INDEX(GOOGLEFINANCE(""Currency:USD""&amp;$P336,""price"",DATE(YEAR($L336),MONTH($L336),DAY($L336))),2,2),LOOKUP(P336,CurrencyCodes,UnitsPerUSD))"),1.0)</f>
        <v>1</v>
      </c>
      <c r="R336" s="17">
        <f t="shared" si="3"/>
        <v>0</v>
      </c>
    </row>
    <row r="337">
      <c r="A337" s="7">
        <v>43976.006309895834</v>
      </c>
      <c r="B337" s="8" t="s">
        <v>61</v>
      </c>
      <c r="C337" s="9">
        <v>300.0</v>
      </c>
      <c r="D337" s="8" t="s">
        <v>1256</v>
      </c>
      <c r="E337" s="8" t="s">
        <v>1257</v>
      </c>
      <c r="F337" s="8" t="s">
        <v>1245</v>
      </c>
      <c r="G337" s="9">
        <v>85128.0</v>
      </c>
      <c r="H337" s="10" t="s">
        <v>1173</v>
      </c>
      <c r="I337" s="10" t="s">
        <v>39</v>
      </c>
      <c r="J337" s="11">
        <v>113500.0</v>
      </c>
      <c r="K337" s="10" t="s">
        <v>25</v>
      </c>
      <c r="L337" s="25">
        <v>43804.0</v>
      </c>
      <c r="M337" s="28" t="s">
        <v>1258</v>
      </c>
      <c r="N337" s="12" t="s">
        <v>1259</v>
      </c>
      <c r="O337" s="15">
        <f t="shared" si="1"/>
        <v>2019</v>
      </c>
      <c r="P337" s="16" t="str">
        <f t="shared" si="2"/>
        <v>USD</v>
      </c>
      <c r="Q337" s="15">
        <f>IFERROR(__xludf.DUMMYFUNCTION("IFNA(INDEX(GOOGLEFINANCE(""Currency:USD""&amp;$P337,""price"",DATE(YEAR($L337),MONTH($L337),DAY($L337))),2,2),LOOKUP(P337,CurrencyCodes,UnitsPerUSD))"),1.0)</f>
        <v>1</v>
      </c>
      <c r="R337" s="17">
        <f t="shared" si="3"/>
        <v>113500</v>
      </c>
    </row>
    <row r="338">
      <c r="A338" s="7">
        <v>43967.399712847226</v>
      </c>
      <c r="B338" s="8" t="s">
        <v>18</v>
      </c>
      <c r="C338" s="9">
        <v>5521.0</v>
      </c>
      <c r="D338" s="8" t="s">
        <v>1260</v>
      </c>
      <c r="E338" s="8" t="s">
        <v>1261</v>
      </c>
      <c r="F338" s="8" t="s">
        <v>1245</v>
      </c>
      <c r="G338" s="9">
        <v>85501.0</v>
      </c>
      <c r="H338" s="10" t="s">
        <v>1173</v>
      </c>
      <c r="I338" s="10" t="s">
        <v>39</v>
      </c>
      <c r="J338" s="11">
        <v>61900.0</v>
      </c>
      <c r="K338" s="10" t="s">
        <v>25</v>
      </c>
      <c r="L338" s="25">
        <v>38705.0</v>
      </c>
      <c r="M338" s="28" t="s">
        <v>1262</v>
      </c>
      <c r="N338" s="10" t="s">
        <v>1263</v>
      </c>
      <c r="O338" s="15">
        <f t="shared" si="1"/>
        <v>2005</v>
      </c>
      <c r="P338" s="16" t="str">
        <f t="shared" si="2"/>
        <v>USD</v>
      </c>
      <c r="Q338" s="15">
        <f>IFERROR(__xludf.DUMMYFUNCTION("IFNA(INDEX(GOOGLEFINANCE(""Currency:USD""&amp;$P338,""price"",DATE(YEAR($L338),MONTH($L338),DAY($L338))),2,2),LOOKUP(P338,CurrencyCodes,UnitsPerUSD))"),1.0)</f>
        <v>1</v>
      </c>
      <c r="R338" s="17">
        <f t="shared" si="3"/>
        <v>61900</v>
      </c>
    </row>
    <row r="339">
      <c r="A339" s="7">
        <v>43905.92176877314</v>
      </c>
      <c r="B339" s="18" t="s">
        <v>18</v>
      </c>
      <c r="C339" s="19">
        <v>300.0</v>
      </c>
      <c r="D339" s="18" t="s">
        <v>1264</v>
      </c>
      <c r="E339" s="18" t="s">
        <v>1265</v>
      </c>
      <c r="F339" s="18" t="s">
        <v>1245</v>
      </c>
      <c r="G339" s="19">
        <v>86025.0</v>
      </c>
      <c r="H339" s="21" t="s">
        <v>1173</v>
      </c>
      <c r="I339" s="21" t="s">
        <v>24</v>
      </c>
      <c r="J339" s="11">
        <v>51000.0</v>
      </c>
      <c r="K339" s="21" t="s">
        <v>25</v>
      </c>
      <c r="L339" s="25">
        <v>44148.0</v>
      </c>
      <c r="M339" s="24" t="s">
        <v>1266</v>
      </c>
      <c r="N339" s="27" t="s">
        <v>1267</v>
      </c>
      <c r="O339" s="15">
        <f t="shared" si="1"/>
        <v>2020</v>
      </c>
      <c r="P339" s="16" t="str">
        <f t="shared" si="2"/>
        <v>USD</v>
      </c>
      <c r="Q339" s="15">
        <f>IFERROR(__xludf.DUMMYFUNCTION("IFNA(INDEX(GOOGLEFINANCE(""Currency:USD""&amp;$P339,""price"",DATE(YEAR($L339),MONTH($L339),DAY($L339))),2,2),LOOKUP(P339,CurrencyCodes,UnitsPerUSD))"),1.0)</f>
        <v>1</v>
      </c>
      <c r="R339" s="17">
        <f t="shared" si="3"/>
        <v>51000</v>
      </c>
    </row>
    <row r="340">
      <c r="A340" s="7">
        <v>43943.27711675926</v>
      </c>
      <c r="B340" s="8" t="s">
        <v>18</v>
      </c>
      <c r="C340" s="9">
        <v>14600.0</v>
      </c>
      <c r="D340" s="8" t="s">
        <v>1268</v>
      </c>
      <c r="E340" s="8" t="s">
        <v>1269</v>
      </c>
      <c r="F340" s="8" t="s">
        <v>1245</v>
      </c>
      <c r="G340" s="9">
        <v>85053.0</v>
      </c>
      <c r="H340" s="10" t="s">
        <v>1173</v>
      </c>
      <c r="I340" s="10" t="s">
        <v>39</v>
      </c>
      <c r="J340" s="11">
        <v>625000.0</v>
      </c>
      <c r="K340" s="10" t="s">
        <v>25</v>
      </c>
      <c r="L340" s="25">
        <v>39301.0</v>
      </c>
      <c r="M340" s="28" t="s">
        <v>1270</v>
      </c>
      <c r="N340" s="10" t="s">
        <v>1271</v>
      </c>
      <c r="O340" s="15">
        <f t="shared" si="1"/>
        <v>2007</v>
      </c>
      <c r="P340" s="16" t="str">
        <f t="shared" si="2"/>
        <v>USD</v>
      </c>
      <c r="Q340" s="15">
        <f>IFERROR(__xludf.DUMMYFUNCTION("IFNA(INDEX(GOOGLEFINANCE(""Currency:USD""&amp;$P340,""price"",DATE(YEAR($L340),MONTH($L340),DAY($L340))),2,2),LOOKUP(P340,CurrencyCodes,UnitsPerUSD))"),1.0)</f>
        <v>1</v>
      </c>
      <c r="R340" s="17">
        <f t="shared" si="3"/>
        <v>625000</v>
      </c>
    </row>
    <row r="341">
      <c r="A341" s="7">
        <v>43943.28877349537</v>
      </c>
      <c r="B341" s="8" t="s">
        <v>18</v>
      </c>
      <c r="C341" s="9">
        <v>4215.0</v>
      </c>
      <c r="D341" s="8" t="s">
        <v>1272</v>
      </c>
      <c r="E341" s="8" t="s">
        <v>1269</v>
      </c>
      <c r="F341" s="8" t="s">
        <v>1245</v>
      </c>
      <c r="G341" s="9">
        <v>85040.0</v>
      </c>
      <c r="H341" s="10" t="s">
        <v>1173</v>
      </c>
      <c r="I341" s="10" t="s">
        <v>39</v>
      </c>
      <c r="J341" s="11">
        <v>0.0</v>
      </c>
      <c r="K341" s="10" t="s">
        <v>25</v>
      </c>
      <c r="L341" s="25">
        <v>43809.0</v>
      </c>
      <c r="M341" s="28" t="s">
        <v>1273</v>
      </c>
      <c r="N341" s="10" t="s">
        <v>1274</v>
      </c>
      <c r="O341" s="15">
        <f t="shared" si="1"/>
        <v>2019</v>
      </c>
      <c r="P341" s="16" t="str">
        <f t="shared" si="2"/>
        <v>USD</v>
      </c>
      <c r="Q341" s="15">
        <f>IFERROR(__xludf.DUMMYFUNCTION("IFNA(INDEX(GOOGLEFINANCE(""Currency:USD""&amp;$P341,""price"",DATE(YEAR($L341),MONTH($L341),DAY($L341))),2,2),LOOKUP(P341,CurrencyCodes,UnitsPerUSD))"),1.0)</f>
        <v>1</v>
      </c>
      <c r="R341" s="17">
        <f t="shared" si="3"/>
        <v>0</v>
      </c>
    </row>
    <row r="342">
      <c r="A342" s="7">
        <v>43917.28420332176</v>
      </c>
      <c r="B342" s="18" t="s">
        <v>18</v>
      </c>
      <c r="C342" s="19">
        <v>6933.0</v>
      </c>
      <c r="D342" s="18" t="s">
        <v>1275</v>
      </c>
      <c r="E342" s="18" t="s">
        <v>1276</v>
      </c>
      <c r="F342" s="18" t="s">
        <v>1245</v>
      </c>
      <c r="G342" s="19">
        <v>86314.0</v>
      </c>
      <c r="H342" s="21" t="s">
        <v>1173</v>
      </c>
      <c r="I342" s="21" t="s">
        <v>39</v>
      </c>
      <c r="J342" s="11">
        <v>465000.0</v>
      </c>
      <c r="K342" s="21" t="s">
        <v>25</v>
      </c>
      <c r="L342" s="25">
        <v>43871.0</v>
      </c>
      <c r="M342" s="24" t="s">
        <v>1277</v>
      </c>
      <c r="N342" s="27" t="s">
        <v>1278</v>
      </c>
      <c r="O342" s="15">
        <f t="shared" si="1"/>
        <v>2020</v>
      </c>
      <c r="P342" s="16" t="str">
        <f t="shared" si="2"/>
        <v>USD</v>
      </c>
      <c r="Q342" s="15">
        <f>IFERROR(__xludf.DUMMYFUNCTION("IFNA(INDEX(GOOGLEFINANCE(""Currency:USD""&amp;$P342,""price"",DATE(YEAR($L342),MONTH($L342),DAY($L342))),2,2),LOOKUP(P342,CurrencyCodes,UnitsPerUSD))"),1.0)</f>
        <v>1</v>
      </c>
      <c r="R342" s="17">
        <f t="shared" si="3"/>
        <v>465000</v>
      </c>
    </row>
    <row r="343">
      <c r="A343" s="7">
        <v>43918.54930017361</v>
      </c>
      <c r="B343" s="18" t="s">
        <v>18</v>
      </c>
      <c r="C343" s="19">
        <v>100.0</v>
      </c>
      <c r="D343" s="18" t="s">
        <v>1279</v>
      </c>
      <c r="E343" s="18" t="s">
        <v>1280</v>
      </c>
      <c r="F343" s="18" t="s">
        <v>1245</v>
      </c>
      <c r="G343" s="9">
        <v>86336.0</v>
      </c>
      <c r="H343" s="21" t="s">
        <v>1173</v>
      </c>
      <c r="I343" s="21" t="s">
        <v>39</v>
      </c>
      <c r="J343" s="11">
        <v>895000.0</v>
      </c>
      <c r="K343" s="21" t="s">
        <v>25</v>
      </c>
      <c r="L343" s="25">
        <v>43913.0</v>
      </c>
      <c r="M343" s="28" t="s">
        <v>1281</v>
      </c>
      <c r="N343" s="12" t="s">
        <v>1282</v>
      </c>
      <c r="O343" s="15">
        <f t="shared" si="1"/>
        <v>2020</v>
      </c>
      <c r="P343" s="16" t="str">
        <f t="shared" si="2"/>
        <v>USD</v>
      </c>
      <c r="Q343" s="15">
        <f>IFERROR(__xludf.DUMMYFUNCTION("IFNA(INDEX(GOOGLEFINANCE(""Currency:USD""&amp;$P343,""price"",DATE(YEAR($L343),MONTH($L343),DAY($L343))),2,2),LOOKUP(P343,CurrencyCodes,UnitsPerUSD))"),1.0)</f>
        <v>1</v>
      </c>
      <c r="R343" s="17">
        <f t="shared" si="3"/>
        <v>895000</v>
      </c>
    </row>
    <row r="344">
      <c r="A344" s="7">
        <v>43918.52806719908</v>
      </c>
      <c r="B344" s="18" t="s">
        <v>18</v>
      </c>
      <c r="C344" s="19">
        <v>4616.0</v>
      </c>
      <c r="D344" s="18" t="s">
        <v>1283</v>
      </c>
      <c r="E344" s="18" t="s">
        <v>1284</v>
      </c>
      <c r="F344" s="18" t="s">
        <v>1245</v>
      </c>
      <c r="G344" s="9">
        <v>85706.0</v>
      </c>
      <c r="H344" s="21" t="s">
        <v>1173</v>
      </c>
      <c r="I344" s="21" t="s">
        <v>24</v>
      </c>
      <c r="J344" s="11">
        <v>0.0</v>
      </c>
      <c r="K344" s="27" t="s">
        <v>25</v>
      </c>
      <c r="L344" s="22"/>
      <c r="M344" s="10"/>
      <c r="N344" s="12" t="s">
        <v>1285</v>
      </c>
      <c r="O344" s="15" t="str">
        <f t="shared" si="1"/>
        <v>Unknown</v>
      </c>
      <c r="P344" s="16" t="str">
        <f t="shared" si="2"/>
        <v>USD</v>
      </c>
      <c r="Q344" s="15">
        <f>IFERROR(__xludf.DUMMYFUNCTION("IFNA(INDEX(GOOGLEFINANCE(""Currency:USD""&amp;$P344,""price"",DATE(YEAR($L344),MONTH($L344),DAY($L344))),2,2),LOOKUP(P344,CurrencyCodes,UnitsPerUSD))"),1.0)</f>
        <v>1</v>
      </c>
      <c r="R344" s="17">
        <f t="shared" si="3"/>
        <v>0</v>
      </c>
    </row>
    <row r="345">
      <c r="A345" s="7">
        <v>43938.04377585648</v>
      </c>
      <c r="B345" s="18" t="s">
        <v>18</v>
      </c>
      <c r="C345" s="19">
        <v>1701.0</v>
      </c>
      <c r="D345" s="18" t="s">
        <v>1286</v>
      </c>
      <c r="E345" s="18" t="s">
        <v>1284</v>
      </c>
      <c r="F345" s="18" t="s">
        <v>1245</v>
      </c>
      <c r="G345" s="9">
        <v>85719.0</v>
      </c>
      <c r="H345" s="21" t="s">
        <v>1173</v>
      </c>
      <c r="I345" s="21" t="s">
        <v>39</v>
      </c>
      <c r="J345" s="11">
        <v>0.0</v>
      </c>
      <c r="K345" s="21" t="s">
        <v>25</v>
      </c>
      <c r="L345" s="25">
        <v>38078.0</v>
      </c>
      <c r="M345" s="24" t="s">
        <v>1287</v>
      </c>
      <c r="N345" s="10" t="s">
        <v>1288</v>
      </c>
      <c r="O345" s="15">
        <f t="shared" si="1"/>
        <v>2004</v>
      </c>
      <c r="P345" s="16" t="str">
        <f t="shared" si="2"/>
        <v>USD</v>
      </c>
      <c r="Q345" s="15">
        <f>IFERROR(__xludf.DUMMYFUNCTION("IFNA(INDEX(GOOGLEFINANCE(""Currency:USD""&amp;$P345,""price"",DATE(YEAR($L345),MONTH($L345),DAY($L345))),2,2),LOOKUP(P345,CurrencyCodes,UnitsPerUSD))"),1.0)</f>
        <v>1</v>
      </c>
      <c r="R345" s="17">
        <f t="shared" si="3"/>
        <v>0</v>
      </c>
    </row>
    <row r="346">
      <c r="A346" s="7">
        <v>43918.527393344906</v>
      </c>
      <c r="B346" s="18" t="s">
        <v>18</v>
      </c>
      <c r="C346" s="9">
        <v>207.0</v>
      </c>
      <c r="D346" s="18" t="s">
        <v>1289</v>
      </c>
      <c r="E346" s="18" t="s">
        <v>1284</v>
      </c>
      <c r="F346" s="18" t="s">
        <v>1245</v>
      </c>
      <c r="G346" s="19">
        <v>85705.0</v>
      </c>
      <c r="H346" s="21" t="s">
        <v>1173</v>
      </c>
      <c r="I346" s="21" t="s">
        <v>24</v>
      </c>
      <c r="J346" s="11">
        <v>275000.0</v>
      </c>
      <c r="K346" s="27" t="s">
        <v>25</v>
      </c>
      <c r="L346" s="22"/>
      <c r="M346" s="21"/>
      <c r="N346" s="27" t="s">
        <v>1290</v>
      </c>
      <c r="O346" s="15" t="str">
        <f t="shared" si="1"/>
        <v>Unknown</v>
      </c>
      <c r="P346" s="16" t="str">
        <f t="shared" si="2"/>
        <v>USD</v>
      </c>
      <c r="Q346" s="15">
        <f>IFERROR(__xludf.DUMMYFUNCTION("IFNA(INDEX(GOOGLEFINANCE(""Currency:USD""&amp;$P346,""price"",DATE(YEAR($L346),MONTH($L346),DAY($L346))),2,2),LOOKUP(P346,CurrencyCodes,UnitsPerUSD))"),1.0)</f>
        <v>1</v>
      </c>
      <c r="R346" s="17">
        <f t="shared" si="3"/>
        <v>275000</v>
      </c>
    </row>
    <row r="347">
      <c r="A347" s="7">
        <v>43940.97135445602</v>
      </c>
      <c r="B347" s="8" t="s">
        <v>18</v>
      </c>
      <c r="C347" s="9">
        <v>1631.0</v>
      </c>
      <c r="D347" s="8" t="s">
        <v>1291</v>
      </c>
      <c r="E347" s="8" t="s">
        <v>1292</v>
      </c>
      <c r="F347" s="8" t="s">
        <v>1293</v>
      </c>
      <c r="G347" s="9">
        <v>93305.0</v>
      </c>
      <c r="H347" s="10" t="s">
        <v>1173</v>
      </c>
      <c r="I347" s="10" t="s">
        <v>39</v>
      </c>
      <c r="J347" s="11">
        <v>175000.0</v>
      </c>
      <c r="K347" s="10" t="s">
        <v>25</v>
      </c>
      <c r="L347" s="25">
        <v>38618.0</v>
      </c>
      <c r="M347" s="28" t="s">
        <v>1294</v>
      </c>
      <c r="N347" s="10" t="s">
        <v>1295</v>
      </c>
      <c r="O347" s="15">
        <f t="shared" si="1"/>
        <v>2005</v>
      </c>
      <c r="P347" s="16" t="str">
        <f t="shared" si="2"/>
        <v>USD</v>
      </c>
      <c r="Q347" s="15">
        <f>IFERROR(__xludf.DUMMYFUNCTION("IFNA(INDEX(GOOGLEFINANCE(""Currency:USD""&amp;$P347,""price"",DATE(YEAR($L347),MONTH($L347),DAY($L347))),2,2),LOOKUP(P347,CurrencyCodes,UnitsPerUSD))"),1.0)</f>
        <v>1</v>
      </c>
      <c r="R347" s="17">
        <f t="shared" si="3"/>
        <v>175000</v>
      </c>
    </row>
    <row r="348">
      <c r="A348" s="7">
        <v>43941.06796561343</v>
      </c>
      <c r="B348" s="18" t="s">
        <v>18</v>
      </c>
      <c r="C348" s="19">
        <v>5702.0</v>
      </c>
      <c r="D348" s="18" t="s">
        <v>1296</v>
      </c>
      <c r="E348" s="18" t="s">
        <v>1292</v>
      </c>
      <c r="F348" s="18" t="s">
        <v>1293</v>
      </c>
      <c r="G348" s="19">
        <v>93306.0</v>
      </c>
      <c r="H348" s="21" t="s">
        <v>1173</v>
      </c>
      <c r="I348" s="21" t="s">
        <v>39</v>
      </c>
      <c r="J348" s="11">
        <v>200000.0</v>
      </c>
      <c r="K348" s="21" t="s">
        <v>25</v>
      </c>
      <c r="L348" s="25">
        <v>40338.0</v>
      </c>
      <c r="M348" s="24" t="s">
        <v>1297</v>
      </c>
      <c r="N348" s="10" t="s">
        <v>1298</v>
      </c>
      <c r="O348" s="15">
        <f t="shared" si="1"/>
        <v>2010</v>
      </c>
      <c r="P348" s="16" t="str">
        <f t="shared" si="2"/>
        <v>USD</v>
      </c>
      <c r="Q348" s="15">
        <f>IFERROR(__xludf.DUMMYFUNCTION("IFNA(INDEX(GOOGLEFINANCE(""Currency:USD""&amp;$P348,""price"",DATE(YEAR($L348),MONTH($L348),DAY($L348))),2,2),LOOKUP(P348,CurrencyCodes,UnitsPerUSD))"),1.0)</f>
        <v>1</v>
      </c>
      <c r="R348" s="17">
        <f t="shared" si="3"/>
        <v>200000</v>
      </c>
    </row>
    <row r="349">
      <c r="A349" s="7">
        <v>43940.98596346065</v>
      </c>
      <c r="B349" s="18" t="s">
        <v>18</v>
      </c>
      <c r="C349" s="19">
        <v>2153.0</v>
      </c>
      <c r="D349" s="18" t="s">
        <v>1299</v>
      </c>
      <c r="E349" s="18" t="s">
        <v>1292</v>
      </c>
      <c r="F349" s="18" t="s">
        <v>1293</v>
      </c>
      <c r="G349" s="19">
        <v>93305.0</v>
      </c>
      <c r="H349" s="21" t="s">
        <v>1173</v>
      </c>
      <c r="I349" s="21" t="s">
        <v>39</v>
      </c>
      <c r="J349" s="11">
        <v>0.0</v>
      </c>
      <c r="K349" s="27" t="s">
        <v>25</v>
      </c>
      <c r="L349" s="22"/>
      <c r="M349" s="24" t="s">
        <v>1300</v>
      </c>
      <c r="N349" s="10" t="s">
        <v>1301</v>
      </c>
      <c r="O349" s="15" t="str">
        <f t="shared" si="1"/>
        <v>Unknown</v>
      </c>
      <c r="P349" s="16" t="str">
        <f t="shared" si="2"/>
        <v>USD</v>
      </c>
      <c r="Q349" s="15">
        <f>IFERROR(__xludf.DUMMYFUNCTION("IFNA(INDEX(GOOGLEFINANCE(""Currency:USD""&amp;$P349,""price"",DATE(YEAR($L349),MONTH($L349),DAY($L349))),2,2),LOOKUP(P349,CurrencyCodes,UnitsPerUSD))"),1.0)</f>
        <v>1</v>
      </c>
      <c r="R349" s="17">
        <f t="shared" si="3"/>
        <v>0</v>
      </c>
    </row>
    <row r="350">
      <c r="A350" s="7">
        <v>43923.87068662037</v>
      </c>
      <c r="B350" s="18" t="s">
        <v>18</v>
      </c>
      <c r="C350" s="9">
        <v>275.0</v>
      </c>
      <c r="D350" s="8" t="s">
        <v>1302</v>
      </c>
      <c r="E350" s="18" t="s">
        <v>1303</v>
      </c>
      <c r="F350" s="8" t="s">
        <v>1293</v>
      </c>
      <c r="G350" s="19">
        <v>93727.0</v>
      </c>
      <c r="H350" s="21" t="s">
        <v>1173</v>
      </c>
      <c r="I350" s="21" t="s">
        <v>24</v>
      </c>
      <c r="J350" s="11">
        <v>275000.0</v>
      </c>
      <c r="K350" s="21" t="s">
        <v>25</v>
      </c>
      <c r="L350" s="25">
        <v>43327.0</v>
      </c>
      <c r="M350" s="28" t="s">
        <v>1304</v>
      </c>
      <c r="N350" s="27" t="s">
        <v>1305</v>
      </c>
      <c r="O350" s="15">
        <f t="shared" si="1"/>
        <v>2018</v>
      </c>
      <c r="P350" s="16" t="str">
        <f t="shared" si="2"/>
        <v>USD</v>
      </c>
      <c r="Q350" s="15">
        <f>IFERROR(__xludf.DUMMYFUNCTION("IFNA(INDEX(GOOGLEFINANCE(""Currency:USD""&amp;$P350,""price"",DATE(YEAR($L350),MONTH($L350),DAY($L350))),2,2),LOOKUP(P350,CurrencyCodes,UnitsPerUSD))"),1.0)</f>
        <v>1</v>
      </c>
      <c r="R350" s="17">
        <f t="shared" si="3"/>
        <v>275000</v>
      </c>
    </row>
    <row r="351">
      <c r="A351" s="7">
        <v>43938.58150704861</v>
      </c>
      <c r="B351" s="18" t="s">
        <v>18</v>
      </c>
      <c r="C351" s="9">
        <v>8370.0</v>
      </c>
      <c r="D351" s="8" t="s">
        <v>1306</v>
      </c>
      <c r="E351" s="18" t="s">
        <v>1307</v>
      </c>
      <c r="F351" s="18" t="s">
        <v>1293</v>
      </c>
      <c r="G351" s="9">
        <v>95746.0</v>
      </c>
      <c r="H351" s="21" t="s">
        <v>1173</v>
      </c>
      <c r="I351" s="21" t="s">
        <v>24</v>
      </c>
      <c r="J351" s="11">
        <v>0.0</v>
      </c>
      <c r="K351" s="21" t="s">
        <v>25</v>
      </c>
      <c r="L351" s="25">
        <v>43466.0</v>
      </c>
      <c r="M351" s="24" t="s">
        <v>1308</v>
      </c>
      <c r="N351" s="12" t="s">
        <v>1309</v>
      </c>
      <c r="O351" s="15">
        <f t="shared" si="1"/>
        <v>2019</v>
      </c>
      <c r="P351" s="16" t="str">
        <f t="shared" si="2"/>
        <v>USD</v>
      </c>
      <c r="Q351" s="15">
        <f>IFERROR(__xludf.DUMMYFUNCTION("IFNA(INDEX(GOOGLEFINANCE(""Currency:USD""&amp;$P351,""price"",DATE(YEAR($L351),MONTH($L351),DAY($L351))),2,2),LOOKUP(P351,CurrencyCodes,UnitsPerUSD))"),1.0)</f>
        <v>1</v>
      </c>
      <c r="R351" s="17">
        <f t="shared" si="3"/>
        <v>0</v>
      </c>
    </row>
    <row r="352">
      <c r="A352" s="7">
        <v>43905.92828871528</v>
      </c>
      <c r="B352" s="18" t="s">
        <v>18</v>
      </c>
      <c r="C352" s="19">
        <v>825.0</v>
      </c>
      <c r="D352" s="18" t="s">
        <v>1310</v>
      </c>
      <c r="E352" s="18" t="s">
        <v>1311</v>
      </c>
      <c r="F352" s="18" t="s">
        <v>1293</v>
      </c>
      <c r="G352" s="19">
        <v>92250.0</v>
      </c>
      <c r="H352" s="21" t="s">
        <v>1173</v>
      </c>
      <c r="I352" s="21" t="s">
        <v>39</v>
      </c>
      <c r="J352" s="11">
        <v>140000.0</v>
      </c>
      <c r="K352" s="21" t="s">
        <v>25</v>
      </c>
      <c r="L352" s="25">
        <v>43468.0</v>
      </c>
      <c r="M352" s="14" t="s">
        <v>1312</v>
      </c>
      <c r="N352" s="10"/>
      <c r="O352" s="15">
        <f t="shared" si="1"/>
        <v>2019</v>
      </c>
      <c r="P352" s="16" t="str">
        <f t="shared" si="2"/>
        <v>USD</v>
      </c>
      <c r="Q352" s="15">
        <f>IFERROR(__xludf.DUMMYFUNCTION("IFNA(INDEX(GOOGLEFINANCE(""Currency:USD""&amp;$P352,""price"",DATE(YEAR($L352),MONTH($L352),DAY($L352))),2,2),LOOKUP(P352,CurrencyCodes,UnitsPerUSD))"),1.0)</f>
        <v>1</v>
      </c>
      <c r="R352" s="17">
        <f t="shared" si="3"/>
        <v>140000</v>
      </c>
    </row>
    <row r="353">
      <c r="A353" s="7">
        <v>43911.86842979166</v>
      </c>
      <c r="B353" s="18" t="s">
        <v>18</v>
      </c>
      <c r="C353" s="9">
        <v>16769.0</v>
      </c>
      <c r="D353" s="18" t="s">
        <v>1313</v>
      </c>
      <c r="E353" s="18" t="s">
        <v>1314</v>
      </c>
      <c r="F353" s="8" t="s">
        <v>1293</v>
      </c>
      <c r="G353" s="9">
        <v>95032.0</v>
      </c>
      <c r="H353" s="21" t="s">
        <v>1173</v>
      </c>
      <c r="I353" s="21" t="s">
        <v>39</v>
      </c>
      <c r="J353" s="11">
        <v>1.175E7</v>
      </c>
      <c r="K353" s="21" t="s">
        <v>25</v>
      </c>
      <c r="L353" s="25">
        <v>43304.0</v>
      </c>
      <c r="M353" s="14" t="s">
        <v>1315</v>
      </c>
      <c r="N353" s="10"/>
      <c r="O353" s="15">
        <f t="shared" si="1"/>
        <v>2018</v>
      </c>
      <c r="P353" s="16" t="str">
        <f t="shared" si="2"/>
        <v>USD</v>
      </c>
      <c r="Q353" s="15">
        <f>IFERROR(__xludf.DUMMYFUNCTION("IFNA(INDEX(GOOGLEFINANCE(""Currency:USD""&amp;$P353,""price"",DATE(YEAR($L353),MONTH($L353),DAY($L353))),2,2),LOOKUP(P353,CurrencyCodes,UnitsPerUSD))"),1.0)</f>
        <v>1</v>
      </c>
      <c r="R353" s="17">
        <f t="shared" si="3"/>
        <v>11750000</v>
      </c>
    </row>
    <row r="354">
      <c r="A354" s="7">
        <v>43911.872958946755</v>
      </c>
      <c r="B354" s="18" t="s">
        <v>18</v>
      </c>
      <c r="C354" s="9">
        <v>811.0</v>
      </c>
      <c r="D354" s="8" t="s">
        <v>1316</v>
      </c>
      <c r="E354" s="18" t="s">
        <v>1317</v>
      </c>
      <c r="F354" s="18" t="s">
        <v>1293</v>
      </c>
      <c r="G354" s="9">
        <v>94025.0</v>
      </c>
      <c r="H354" s="21" t="s">
        <v>1173</v>
      </c>
      <c r="I354" s="21" t="s">
        <v>39</v>
      </c>
      <c r="J354" s="11">
        <v>1200000.0</v>
      </c>
      <c r="K354" s="21" t="s">
        <v>25</v>
      </c>
      <c r="L354" s="25">
        <v>43082.0</v>
      </c>
      <c r="M354" s="28" t="s">
        <v>1318</v>
      </c>
      <c r="N354" s="21" t="s">
        <v>1175</v>
      </c>
      <c r="O354" s="15">
        <f t="shared" si="1"/>
        <v>2017</v>
      </c>
      <c r="P354" s="16" t="str">
        <f t="shared" si="2"/>
        <v>USD</v>
      </c>
      <c r="Q354" s="15">
        <f>IFERROR(__xludf.DUMMYFUNCTION("IFNA(INDEX(GOOGLEFINANCE(""Currency:USD""&amp;$P354,""price"",DATE(YEAR($L354),MONTH($L354),DAY($L354))),2,2),LOOKUP(P354,CurrencyCodes,UnitsPerUSD))"),1.0)</f>
        <v>1</v>
      </c>
      <c r="R354" s="17">
        <f t="shared" si="3"/>
        <v>1200000</v>
      </c>
    </row>
    <row r="355">
      <c r="A355" s="7">
        <v>43915.76636443287</v>
      </c>
      <c r="B355" s="18" t="s">
        <v>18</v>
      </c>
      <c r="C355" s="19">
        <v>3161.0</v>
      </c>
      <c r="D355" s="18" t="s">
        <v>1319</v>
      </c>
      <c r="E355" s="18" t="s">
        <v>1320</v>
      </c>
      <c r="F355" s="18" t="s">
        <v>1293</v>
      </c>
      <c r="G355" s="19">
        <v>95966.0</v>
      </c>
      <c r="H355" s="21" t="s">
        <v>1173</v>
      </c>
      <c r="I355" s="21" t="s">
        <v>39</v>
      </c>
      <c r="J355" s="11">
        <v>110000.0</v>
      </c>
      <c r="K355" s="21" t="s">
        <v>25</v>
      </c>
      <c r="L355" s="25">
        <v>42412.0</v>
      </c>
      <c r="M355" s="31" t="s">
        <v>1321</v>
      </c>
      <c r="N355" s="21"/>
      <c r="O355" s="15">
        <f t="shared" si="1"/>
        <v>2016</v>
      </c>
      <c r="P355" s="16" t="str">
        <f t="shared" si="2"/>
        <v>USD</v>
      </c>
      <c r="Q355" s="15">
        <f>IFERROR(__xludf.DUMMYFUNCTION("IFNA(INDEX(GOOGLEFINANCE(""Currency:USD""&amp;$P355,""price"",DATE(YEAR($L355),MONTH($L355),DAY($L355))),2,2),LOOKUP(P355,CurrencyCodes,UnitsPerUSD))"),1.0)</f>
        <v>1</v>
      </c>
      <c r="R355" s="17">
        <f t="shared" si="3"/>
        <v>110000</v>
      </c>
    </row>
    <row r="356">
      <c r="A356" s="7">
        <v>43916.871821990746</v>
      </c>
      <c r="B356" s="18" t="s">
        <v>18</v>
      </c>
      <c r="C356" s="19">
        <v>1100.0</v>
      </c>
      <c r="D356" s="18" t="s">
        <v>1322</v>
      </c>
      <c r="E356" s="18" t="s">
        <v>1323</v>
      </c>
      <c r="F356" s="18" t="s">
        <v>1293</v>
      </c>
      <c r="G356" s="19">
        <v>93950.0</v>
      </c>
      <c r="H356" s="21" t="s">
        <v>1173</v>
      </c>
      <c r="I356" s="21" t="s">
        <v>39</v>
      </c>
      <c r="J356" s="11">
        <v>1000000.0</v>
      </c>
      <c r="K356" s="21" t="s">
        <v>25</v>
      </c>
      <c r="L356" s="25">
        <v>43609.0</v>
      </c>
      <c r="M356" s="24" t="s">
        <v>1324</v>
      </c>
      <c r="N356" s="27" t="s">
        <v>1325</v>
      </c>
      <c r="O356" s="15">
        <f t="shared" si="1"/>
        <v>2019</v>
      </c>
      <c r="P356" s="16" t="str">
        <f t="shared" si="2"/>
        <v>USD</v>
      </c>
      <c r="Q356" s="15">
        <f>IFERROR(__xludf.DUMMYFUNCTION("IFNA(INDEX(GOOGLEFINANCE(""Currency:USD""&amp;$P356,""price"",DATE(YEAR($L356),MONTH($L356),DAY($L356))),2,2),LOOKUP(P356,CurrencyCodes,UnitsPerUSD))"),1.0)</f>
        <v>1</v>
      </c>
      <c r="R356" s="17">
        <f t="shared" si="3"/>
        <v>1000000</v>
      </c>
    </row>
    <row r="357">
      <c r="A357" s="7">
        <v>44060.52624331019</v>
      </c>
      <c r="B357" s="8" t="s">
        <v>18</v>
      </c>
      <c r="C357" s="9">
        <v>2754.0</v>
      </c>
      <c r="D357" s="8" t="s">
        <v>1326</v>
      </c>
      <c r="E357" s="8" t="s">
        <v>1327</v>
      </c>
      <c r="F357" s="26" t="s">
        <v>1293</v>
      </c>
      <c r="G357" s="9">
        <v>91770.0</v>
      </c>
      <c r="H357" s="10" t="s">
        <v>1173</v>
      </c>
      <c r="I357" s="10" t="s">
        <v>24</v>
      </c>
      <c r="J357" s="11">
        <v>0.0</v>
      </c>
      <c r="K357" s="12" t="s">
        <v>25</v>
      </c>
      <c r="L357" s="13"/>
      <c r="M357" s="10"/>
      <c r="N357" s="12" t="s">
        <v>1328</v>
      </c>
      <c r="O357" s="15" t="str">
        <f t="shared" si="1"/>
        <v>Unknown</v>
      </c>
      <c r="P357" s="16" t="str">
        <f t="shared" si="2"/>
        <v>USD</v>
      </c>
      <c r="Q357" s="15">
        <f>IFERROR(__xludf.DUMMYFUNCTION("IFNA(INDEX(GOOGLEFINANCE(""Currency:USD""&amp;$P357,""price"",DATE(YEAR($L357),MONTH($L357),DAY($L357))),2,2),LOOKUP(P357,CurrencyCodes,UnitsPerUSD))"),1.0)</f>
        <v>1</v>
      </c>
      <c r="R357" s="17">
        <f t="shared" si="3"/>
        <v>0</v>
      </c>
    </row>
    <row r="358">
      <c r="A358" s="7">
        <v>43918.93412931713</v>
      </c>
      <c r="B358" s="18" t="s">
        <v>18</v>
      </c>
      <c r="C358" s="19">
        <v>4312.0</v>
      </c>
      <c r="D358" s="18" t="s">
        <v>1329</v>
      </c>
      <c r="E358" s="18" t="s">
        <v>1330</v>
      </c>
      <c r="F358" s="18" t="s">
        <v>1293</v>
      </c>
      <c r="G358" s="19">
        <v>92107.0</v>
      </c>
      <c r="H358" s="21" t="s">
        <v>1173</v>
      </c>
      <c r="I358" s="21" t="s">
        <v>39</v>
      </c>
      <c r="J358" s="11">
        <v>765000.0</v>
      </c>
      <c r="K358" s="21" t="s">
        <v>25</v>
      </c>
      <c r="L358" s="25">
        <v>43462.0</v>
      </c>
      <c r="M358" s="31" t="s">
        <v>1331</v>
      </c>
      <c r="N358" s="10"/>
      <c r="O358" s="15">
        <f t="shared" si="1"/>
        <v>2018</v>
      </c>
      <c r="P358" s="16" t="str">
        <f t="shared" si="2"/>
        <v>USD</v>
      </c>
      <c r="Q358" s="15">
        <f>IFERROR(__xludf.DUMMYFUNCTION("IFNA(INDEX(GOOGLEFINANCE(""Currency:USD""&amp;$P358,""price"",DATE(YEAR($L358),MONTH($L358),DAY($L358))),2,2),LOOKUP(P358,CurrencyCodes,UnitsPerUSD))"),1.0)</f>
        <v>1</v>
      </c>
      <c r="R358" s="17">
        <f t="shared" si="3"/>
        <v>765000</v>
      </c>
    </row>
    <row r="359">
      <c r="A359" s="7">
        <v>43897.495033495376</v>
      </c>
      <c r="B359" s="8" t="s">
        <v>18</v>
      </c>
      <c r="C359" s="9">
        <v>16450.0</v>
      </c>
      <c r="D359" s="8" t="s">
        <v>1332</v>
      </c>
      <c r="E359" s="8" t="s">
        <v>1333</v>
      </c>
      <c r="F359" s="8" t="s">
        <v>1334</v>
      </c>
      <c r="G359" s="9"/>
      <c r="H359" s="10" t="s">
        <v>1173</v>
      </c>
      <c r="I359" s="10" t="s">
        <v>39</v>
      </c>
      <c r="J359" s="11">
        <v>315000.0</v>
      </c>
      <c r="K359" s="10" t="s">
        <v>25</v>
      </c>
      <c r="L359" s="25">
        <v>43602.0</v>
      </c>
      <c r="M359" s="10"/>
      <c r="N359" s="10"/>
      <c r="O359" s="15">
        <f t="shared" si="1"/>
        <v>2019</v>
      </c>
      <c r="P359" s="16" t="str">
        <f t="shared" si="2"/>
        <v>USD</v>
      </c>
      <c r="Q359" s="15">
        <f>IFERROR(__xludf.DUMMYFUNCTION("IFNA(INDEX(GOOGLEFINANCE(""Currency:USD""&amp;$P359,""price"",DATE(YEAR($L359),MONTH($L359),DAY($L359))),2,2),LOOKUP(P359,CurrencyCodes,UnitsPerUSD))"),1.0)</f>
        <v>1</v>
      </c>
      <c r="R359" s="17">
        <f t="shared" si="3"/>
        <v>315000</v>
      </c>
    </row>
    <row r="360">
      <c r="A360" s="7">
        <v>43898.51109400463</v>
      </c>
      <c r="B360" s="18" t="s">
        <v>18</v>
      </c>
      <c r="C360" s="19">
        <v>2606.0</v>
      </c>
      <c r="D360" s="18" t="s">
        <v>1335</v>
      </c>
      <c r="E360" s="18" t="s">
        <v>1336</v>
      </c>
      <c r="F360" s="18" t="s">
        <v>1334</v>
      </c>
      <c r="G360" s="19"/>
      <c r="H360" s="21" t="s">
        <v>1173</v>
      </c>
      <c r="I360" s="21" t="s">
        <v>39</v>
      </c>
      <c r="J360" s="11">
        <v>705000.0</v>
      </c>
      <c r="K360" s="21" t="s">
        <v>25</v>
      </c>
      <c r="L360" s="25">
        <v>43131.0</v>
      </c>
      <c r="M360" s="14" t="s">
        <v>1337</v>
      </c>
      <c r="N360" s="21"/>
      <c r="O360" s="15">
        <f t="shared" si="1"/>
        <v>2018</v>
      </c>
      <c r="P360" s="16" t="str">
        <f t="shared" si="2"/>
        <v>USD</v>
      </c>
      <c r="Q360" s="15">
        <f>IFERROR(__xludf.DUMMYFUNCTION("IFNA(INDEX(GOOGLEFINANCE(""Currency:USD""&amp;$P360,""price"",DATE(YEAR($L360),MONTH($L360),DAY($L360))),2,2),LOOKUP(P360,CurrencyCodes,UnitsPerUSD))"),1.0)</f>
        <v>1</v>
      </c>
      <c r="R360" s="17">
        <f t="shared" si="3"/>
        <v>705000</v>
      </c>
    </row>
    <row r="361">
      <c r="A361" s="7">
        <v>43909.91745677083</v>
      </c>
      <c r="B361" s="8" t="s">
        <v>18</v>
      </c>
      <c r="C361" s="9">
        <v>555.0</v>
      </c>
      <c r="D361" s="8" t="s">
        <v>1338</v>
      </c>
      <c r="E361" s="8" t="s">
        <v>1339</v>
      </c>
      <c r="F361" s="8" t="s">
        <v>1334</v>
      </c>
      <c r="G361" s="9">
        <v>80226.0</v>
      </c>
      <c r="H361" s="10" t="s">
        <v>1173</v>
      </c>
      <c r="I361" s="10" t="s">
        <v>39</v>
      </c>
      <c r="J361" s="11">
        <v>310000.0</v>
      </c>
      <c r="K361" s="10" t="s">
        <v>25</v>
      </c>
      <c r="L361" s="25">
        <v>40497.0</v>
      </c>
      <c r="M361" s="14" t="s">
        <v>1340</v>
      </c>
      <c r="N361" s="10"/>
      <c r="O361" s="15">
        <f t="shared" si="1"/>
        <v>2010</v>
      </c>
      <c r="P361" s="16" t="str">
        <f t="shared" si="2"/>
        <v>USD</v>
      </c>
      <c r="Q361" s="15">
        <f>IFERROR(__xludf.DUMMYFUNCTION("IFNA(INDEX(GOOGLEFINANCE(""Currency:USD""&amp;$P361,""price"",DATE(YEAR($L361),MONTH($L361),DAY($L361))),2,2),LOOKUP(P361,CurrencyCodes,UnitsPerUSD))"),1.0)</f>
        <v>1</v>
      </c>
      <c r="R361" s="17">
        <f t="shared" si="3"/>
        <v>310000</v>
      </c>
    </row>
    <row r="362">
      <c r="A362" s="7">
        <v>43933.189832766206</v>
      </c>
      <c r="B362" s="18" t="s">
        <v>18</v>
      </c>
      <c r="C362" s="9">
        <v>1805.0</v>
      </c>
      <c r="D362" s="8" t="s">
        <v>1341</v>
      </c>
      <c r="E362" s="18" t="s">
        <v>1339</v>
      </c>
      <c r="F362" s="18" t="s">
        <v>1334</v>
      </c>
      <c r="G362" s="9">
        <v>80232.0</v>
      </c>
      <c r="H362" s="21" t="s">
        <v>1173</v>
      </c>
      <c r="I362" s="21" t="s">
        <v>39</v>
      </c>
      <c r="J362" s="11">
        <v>350000.0</v>
      </c>
      <c r="K362" s="21" t="s">
        <v>25</v>
      </c>
      <c r="L362" s="25">
        <v>40577.0</v>
      </c>
      <c r="M362" s="28" t="s">
        <v>1342</v>
      </c>
      <c r="N362" s="12" t="s">
        <v>1343</v>
      </c>
      <c r="O362" s="15">
        <f t="shared" si="1"/>
        <v>2011</v>
      </c>
      <c r="P362" s="16" t="str">
        <f t="shared" si="2"/>
        <v>USD</v>
      </c>
      <c r="Q362" s="15">
        <f>IFERROR(__xludf.DUMMYFUNCTION("IFNA(INDEX(GOOGLEFINANCE(""Currency:USD""&amp;$P362,""price"",DATE(YEAR($L362),MONTH($L362),DAY($L362))),2,2),LOOKUP(P362,CurrencyCodes,UnitsPerUSD))"),1.0)</f>
        <v>1</v>
      </c>
      <c r="R362" s="17">
        <f t="shared" si="3"/>
        <v>350000</v>
      </c>
    </row>
    <row r="363">
      <c r="A363" s="7">
        <v>43974.4727528588</v>
      </c>
      <c r="B363" s="8" t="s">
        <v>18</v>
      </c>
      <c r="C363" s="9">
        <v>4355.0</v>
      </c>
      <c r="D363" s="8" t="s">
        <v>1344</v>
      </c>
      <c r="E363" s="8" t="s">
        <v>1345</v>
      </c>
      <c r="F363" s="8" t="s">
        <v>1334</v>
      </c>
      <c r="G363" s="9">
        <v>80831.0</v>
      </c>
      <c r="H363" s="10" t="s">
        <v>1173</v>
      </c>
      <c r="I363" s="10" t="s">
        <v>24</v>
      </c>
      <c r="J363" s="11">
        <v>475000.0</v>
      </c>
      <c r="K363" s="10" t="s">
        <v>25</v>
      </c>
      <c r="L363" s="25">
        <v>43898.0</v>
      </c>
      <c r="M363" s="14" t="s">
        <v>1346</v>
      </c>
      <c r="N363" s="10"/>
      <c r="O363" s="15">
        <f t="shared" si="1"/>
        <v>2020</v>
      </c>
      <c r="P363" s="16" t="str">
        <f t="shared" si="2"/>
        <v>USD</v>
      </c>
      <c r="Q363" s="15">
        <f>IFERROR(__xludf.DUMMYFUNCTION("IFNA(INDEX(GOOGLEFINANCE(""Currency:USD""&amp;$P363,""price"",DATE(YEAR($L363),MONTH($L363),DAY($L363))),2,2),LOOKUP(P363,CurrencyCodes,UnitsPerUSD))"),1.0)</f>
        <v>1</v>
      </c>
      <c r="R363" s="17">
        <f t="shared" si="3"/>
        <v>475000</v>
      </c>
    </row>
    <row r="364">
      <c r="A364" s="7">
        <v>43918.55481282408</v>
      </c>
      <c r="B364" s="18" t="s">
        <v>18</v>
      </c>
      <c r="C364" s="9">
        <v>625.0</v>
      </c>
      <c r="D364" s="18" t="s">
        <v>1347</v>
      </c>
      <c r="E364" s="18" t="s">
        <v>1348</v>
      </c>
      <c r="F364" s="8" t="s">
        <v>1334</v>
      </c>
      <c r="G364" s="19">
        <v>81089.0</v>
      </c>
      <c r="H364" s="21" t="s">
        <v>1173</v>
      </c>
      <c r="I364" s="21" t="s">
        <v>39</v>
      </c>
      <c r="J364" s="11">
        <v>200000.0</v>
      </c>
      <c r="K364" s="21" t="s">
        <v>25</v>
      </c>
      <c r="L364" s="25">
        <v>43599.0</v>
      </c>
      <c r="M364" s="24" t="s">
        <v>1349</v>
      </c>
      <c r="N364" s="27" t="s">
        <v>1350</v>
      </c>
      <c r="O364" s="15">
        <f t="shared" si="1"/>
        <v>2019</v>
      </c>
      <c r="P364" s="16" t="str">
        <f t="shared" si="2"/>
        <v>USD</v>
      </c>
      <c r="Q364" s="15">
        <f>IFERROR(__xludf.DUMMYFUNCTION("IFNA(INDEX(GOOGLEFINANCE(""Currency:USD""&amp;$P364,""price"",DATE(YEAR($L364),MONTH($L364),DAY($L364))),2,2),LOOKUP(P364,CurrencyCodes,UnitsPerUSD))"),1.0)</f>
        <v>1</v>
      </c>
      <c r="R364" s="17">
        <f t="shared" si="3"/>
        <v>200000</v>
      </c>
    </row>
    <row r="365">
      <c r="A365" s="7">
        <v>43905.48070730324</v>
      </c>
      <c r="B365" s="8" t="s">
        <v>18</v>
      </c>
      <c r="C365" s="9"/>
      <c r="D365" s="8"/>
      <c r="E365" s="8" t="s">
        <v>1351</v>
      </c>
      <c r="F365" s="8" t="s">
        <v>1352</v>
      </c>
      <c r="G365" s="19"/>
      <c r="H365" s="10" t="s">
        <v>1173</v>
      </c>
      <c r="I365" s="10" t="s">
        <v>39</v>
      </c>
      <c r="J365" s="11">
        <v>0.0</v>
      </c>
      <c r="K365" s="12" t="s">
        <v>25</v>
      </c>
      <c r="L365" s="22"/>
      <c r="M365" s="10"/>
      <c r="N365" s="10" t="s">
        <v>175</v>
      </c>
      <c r="O365" s="15" t="str">
        <f t="shared" si="1"/>
        <v>Unknown</v>
      </c>
      <c r="P365" s="16" t="str">
        <f t="shared" si="2"/>
        <v>USD</v>
      </c>
      <c r="Q365" s="15">
        <f>IFERROR(__xludf.DUMMYFUNCTION("IFNA(INDEX(GOOGLEFINANCE(""Currency:USD""&amp;$P365,""price"",DATE(YEAR($L365),MONTH($L365),DAY($L365))),2,2),LOOKUP(P365,CurrencyCodes,UnitsPerUSD))"),1.0)</f>
        <v>1</v>
      </c>
      <c r="R365" s="17">
        <f t="shared" si="3"/>
        <v>0</v>
      </c>
    </row>
    <row r="366">
      <c r="A366" s="7">
        <v>43913.78189104167</v>
      </c>
      <c r="B366" s="8" t="s">
        <v>18</v>
      </c>
      <c r="C366" s="9">
        <v>494.0</v>
      </c>
      <c r="D366" s="8" t="s">
        <v>1353</v>
      </c>
      <c r="E366" s="8" t="s">
        <v>1354</v>
      </c>
      <c r="F366" s="8" t="s">
        <v>1352</v>
      </c>
      <c r="G366" s="29" t="s">
        <v>1355</v>
      </c>
      <c r="H366" s="10" t="s">
        <v>1173</v>
      </c>
      <c r="I366" s="10" t="s">
        <v>39</v>
      </c>
      <c r="J366" s="11">
        <v>400000.0</v>
      </c>
      <c r="K366" s="10" t="s">
        <v>25</v>
      </c>
      <c r="L366" s="25">
        <v>43643.0</v>
      </c>
      <c r="M366" s="28" t="s">
        <v>1356</v>
      </c>
      <c r="N366" s="36" t="s">
        <v>1357</v>
      </c>
      <c r="O366" s="15">
        <f t="shared" si="1"/>
        <v>2019</v>
      </c>
      <c r="P366" s="16" t="str">
        <f t="shared" si="2"/>
        <v>USD</v>
      </c>
      <c r="Q366" s="15">
        <f>IFERROR(__xludf.DUMMYFUNCTION("IFNA(INDEX(GOOGLEFINANCE(""Currency:USD""&amp;$P366,""price"",DATE(YEAR($L366),MONTH($L366),DAY($L366))),2,2),LOOKUP(P366,CurrencyCodes,UnitsPerUSD))"),1.0)</f>
        <v>1</v>
      </c>
      <c r="R366" s="17">
        <f t="shared" si="3"/>
        <v>400000</v>
      </c>
    </row>
    <row r="367">
      <c r="A367" s="7">
        <v>43914.82707339121</v>
      </c>
      <c r="B367" s="18" t="s">
        <v>18</v>
      </c>
      <c r="C367" s="19">
        <v>232.0</v>
      </c>
      <c r="D367" s="18" t="s">
        <v>1358</v>
      </c>
      <c r="E367" s="18" t="s">
        <v>1359</v>
      </c>
      <c r="F367" s="18" t="s">
        <v>1352</v>
      </c>
      <c r="G367" s="32" t="s">
        <v>1360</v>
      </c>
      <c r="H367" s="21" t="s">
        <v>1173</v>
      </c>
      <c r="I367" s="21" t="s">
        <v>39</v>
      </c>
      <c r="J367" s="11">
        <v>0.0</v>
      </c>
      <c r="K367" s="21" t="s">
        <v>25</v>
      </c>
      <c r="L367" s="25">
        <v>43101.0</v>
      </c>
      <c r="M367" s="24" t="s">
        <v>1361</v>
      </c>
      <c r="N367" s="10" t="s">
        <v>1362</v>
      </c>
      <c r="O367" s="15">
        <f t="shared" si="1"/>
        <v>2018</v>
      </c>
      <c r="P367" s="16" t="str">
        <f t="shared" si="2"/>
        <v>USD</v>
      </c>
      <c r="Q367" s="15">
        <f>IFERROR(__xludf.DUMMYFUNCTION("IFNA(INDEX(GOOGLEFINANCE(""Currency:USD""&amp;$P367,""price"",DATE(YEAR($L367),MONTH($L367),DAY($L367))),2,2),LOOKUP(P367,CurrencyCodes,UnitsPerUSD))"),1.0)</f>
        <v>1</v>
      </c>
      <c r="R367" s="17">
        <f t="shared" si="3"/>
        <v>0</v>
      </c>
    </row>
    <row r="368">
      <c r="A368" s="7">
        <v>43913.81800251157</v>
      </c>
      <c r="B368" s="8" t="s">
        <v>18</v>
      </c>
      <c r="C368" s="9">
        <v>5.0</v>
      </c>
      <c r="D368" s="8" t="s">
        <v>1363</v>
      </c>
      <c r="E368" s="8" t="s">
        <v>1364</v>
      </c>
      <c r="F368" s="8" t="s">
        <v>1352</v>
      </c>
      <c r="G368" s="29" t="s">
        <v>1365</v>
      </c>
      <c r="H368" s="10" t="s">
        <v>1173</v>
      </c>
      <c r="I368" s="10" t="s">
        <v>39</v>
      </c>
      <c r="J368" s="11">
        <v>230000.0</v>
      </c>
      <c r="K368" s="10" t="s">
        <v>25</v>
      </c>
      <c r="L368" s="25">
        <v>43313.0</v>
      </c>
      <c r="M368" s="28" t="s">
        <v>1366</v>
      </c>
      <c r="N368" s="12" t="s">
        <v>1367</v>
      </c>
      <c r="O368" s="15">
        <f t="shared" si="1"/>
        <v>2018</v>
      </c>
      <c r="P368" s="16" t="str">
        <f t="shared" si="2"/>
        <v>USD</v>
      </c>
      <c r="Q368" s="15">
        <f>IFERROR(__xludf.DUMMYFUNCTION("IFNA(INDEX(GOOGLEFINANCE(""Currency:USD""&amp;$P368,""price"",DATE(YEAR($L368),MONTH($L368),DAY($L368))),2,2),LOOKUP(P368,CurrencyCodes,UnitsPerUSD))"),1.0)</f>
        <v>1</v>
      </c>
      <c r="R368" s="17">
        <f t="shared" si="3"/>
        <v>230000</v>
      </c>
    </row>
    <row r="369">
      <c r="A369" s="7">
        <v>43918.545257060185</v>
      </c>
      <c r="B369" s="18" t="s">
        <v>18</v>
      </c>
      <c r="C369" s="9">
        <v>211.0</v>
      </c>
      <c r="D369" s="18" t="s">
        <v>1368</v>
      </c>
      <c r="E369" s="18" t="s">
        <v>1369</v>
      </c>
      <c r="F369" s="8" t="s">
        <v>1352</v>
      </c>
      <c r="G369" s="29" t="s">
        <v>1370</v>
      </c>
      <c r="H369" s="21" t="s">
        <v>1173</v>
      </c>
      <c r="I369" s="21" t="s">
        <v>24</v>
      </c>
      <c r="J369" s="11">
        <v>277000.0</v>
      </c>
      <c r="K369" s="27" t="s">
        <v>25</v>
      </c>
      <c r="L369" s="22"/>
      <c r="M369" s="24" t="s">
        <v>1371</v>
      </c>
      <c r="N369" s="12" t="s">
        <v>1372</v>
      </c>
      <c r="O369" s="15" t="str">
        <f t="shared" si="1"/>
        <v>Unknown</v>
      </c>
      <c r="P369" s="16" t="str">
        <f t="shared" si="2"/>
        <v>USD</v>
      </c>
      <c r="Q369" s="15">
        <f>IFERROR(__xludf.DUMMYFUNCTION("IFNA(INDEX(GOOGLEFINANCE(""Currency:USD""&amp;$P369,""price"",DATE(YEAR($L369),MONTH($L369),DAY($L369))),2,2),LOOKUP(P369,CurrencyCodes,UnitsPerUSD))"),1.0)</f>
        <v>1</v>
      </c>
      <c r="R369" s="17">
        <f t="shared" si="3"/>
        <v>277000</v>
      </c>
    </row>
    <row r="370">
      <c r="A370" s="7">
        <v>43896.885500625</v>
      </c>
      <c r="B370" s="8" t="s">
        <v>18</v>
      </c>
      <c r="C370" s="9">
        <v>1355.0</v>
      </c>
      <c r="D370" s="8" t="s">
        <v>1373</v>
      </c>
      <c r="E370" s="8" t="s">
        <v>1374</v>
      </c>
      <c r="F370" s="8" t="s">
        <v>1375</v>
      </c>
      <c r="G370" s="9"/>
      <c r="H370" s="10" t="s">
        <v>1173</v>
      </c>
      <c r="I370" s="10" t="s">
        <v>39</v>
      </c>
      <c r="J370" s="11">
        <v>139000.0</v>
      </c>
      <c r="K370" s="12" t="s">
        <v>25</v>
      </c>
      <c r="L370" s="22"/>
      <c r="M370" s="10"/>
      <c r="N370" s="10" t="s">
        <v>1376</v>
      </c>
      <c r="O370" s="15" t="str">
        <f t="shared" si="1"/>
        <v>Unknown</v>
      </c>
      <c r="P370" s="16" t="str">
        <f t="shared" si="2"/>
        <v>USD</v>
      </c>
      <c r="Q370" s="15">
        <f>IFERROR(__xludf.DUMMYFUNCTION("IFNA(INDEX(GOOGLEFINANCE(""Currency:USD""&amp;$P370,""price"",DATE(YEAR($L370),MONTH($L370),DAY($L370))),2,2),LOOKUP(P370,CurrencyCodes,UnitsPerUSD))"),1.0)</f>
        <v>1</v>
      </c>
      <c r="R370" s="17">
        <f t="shared" si="3"/>
        <v>139000</v>
      </c>
    </row>
    <row r="371">
      <c r="A371" s="7">
        <v>43905.43686408565</v>
      </c>
      <c r="B371" s="8" t="s">
        <v>18</v>
      </c>
      <c r="C371" s="9"/>
      <c r="D371" s="8"/>
      <c r="E371" s="8" t="s">
        <v>1377</v>
      </c>
      <c r="F371" s="8" t="s">
        <v>1375</v>
      </c>
      <c r="G371" s="9"/>
      <c r="H371" s="10" t="s">
        <v>1173</v>
      </c>
      <c r="I371" s="10" t="s">
        <v>24</v>
      </c>
      <c r="J371" s="11">
        <v>0.0</v>
      </c>
      <c r="K371" s="12" t="s">
        <v>25</v>
      </c>
      <c r="L371" s="13"/>
      <c r="M371" s="10"/>
      <c r="N371" s="10" t="s">
        <v>175</v>
      </c>
      <c r="O371" s="15" t="str">
        <f t="shared" si="1"/>
        <v>Unknown</v>
      </c>
      <c r="P371" s="16" t="str">
        <f t="shared" si="2"/>
        <v>USD</v>
      </c>
      <c r="Q371" s="15">
        <f>IFERROR(__xludf.DUMMYFUNCTION("IFNA(INDEX(GOOGLEFINANCE(""Currency:USD""&amp;$P371,""price"",DATE(YEAR($L371),MONTH($L371),DAY($L371))),2,2),LOOKUP(P371,CurrencyCodes,UnitsPerUSD))"),1.0)</f>
        <v>1</v>
      </c>
      <c r="R371" s="17">
        <f t="shared" si="3"/>
        <v>0</v>
      </c>
    </row>
    <row r="372">
      <c r="A372" s="7">
        <v>43918.54193341435</v>
      </c>
      <c r="B372" s="18" t="s">
        <v>18</v>
      </c>
      <c r="C372" s="19">
        <v>3860.0</v>
      </c>
      <c r="D372" s="18" t="s">
        <v>1378</v>
      </c>
      <c r="E372" s="18" t="s">
        <v>1379</v>
      </c>
      <c r="F372" s="18" t="s">
        <v>1375</v>
      </c>
      <c r="G372" s="9">
        <v>32043.0</v>
      </c>
      <c r="H372" s="21" t="s">
        <v>1173</v>
      </c>
      <c r="I372" s="21" t="s">
        <v>24</v>
      </c>
      <c r="J372" s="11">
        <v>350000.0</v>
      </c>
      <c r="K372" s="21" t="s">
        <v>25</v>
      </c>
      <c r="L372" s="25">
        <v>43850.0</v>
      </c>
      <c r="M372" s="31" t="s">
        <v>1380</v>
      </c>
      <c r="N372" s="21"/>
      <c r="O372" s="15">
        <f t="shared" si="1"/>
        <v>2020</v>
      </c>
      <c r="P372" s="16" t="str">
        <f t="shared" si="2"/>
        <v>USD</v>
      </c>
      <c r="Q372" s="15">
        <f>IFERROR(__xludf.DUMMYFUNCTION("IFNA(INDEX(GOOGLEFINANCE(""Currency:USD""&amp;$P372,""price"",DATE(YEAR($L372),MONTH($L372),DAY($L372))),2,2),LOOKUP(P372,CurrencyCodes,UnitsPerUSD))"),1.0)</f>
        <v>1</v>
      </c>
      <c r="R372" s="17">
        <f t="shared" si="3"/>
        <v>350000</v>
      </c>
    </row>
    <row r="373">
      <c r="A373" s="7">
        <v>43904.71269252315</v>
      </c>
      <c r="B373" s="18" t="s">
        <v>18</v>
      </c>
      <c r="C373" s="19">
        <v>18505.0</v>
      </c>
      <c r="D373" s="18" t="s">
        <v>1381</v>
      </c>
      <c r="E373" s="18" t="s">
        <v>1382</v>
      </c>
      <c r="F373" s="18" t="s">
        <v>1375</v>
      </c>
      <c r="G373" s="9">
        <v>33030.0</v>
      </c>
      <c r="H373" s="21" t="s">
        <v>1173</v>
      </c>
      <c r="I373" s="21" t="s">
        <v>39</v>
      </c>
      <c r="J373" s="11">
        <v>1148166.0</v>
      </c>
      <c r="K373" s="27" t="s">
        <v>25</v>
      </c>
      <c r="L373" s="22"/>
      <c r="M373" s="24" t="s">
        <v>1383</v>
      </c>
      <c r="N373" s="27" t="s">
        <v>1384</v>
      </c>
      <c r="O373" s="15" t="str">
        <f t="shared" si="1"/>
        <v>Unknown</v>
      </c>
      <c r="P373" s="16" t="str">
        <f t="shared" si="2"/>
        <v>USD</v>
      </c>
      <c r="Q373" s="15">
        <f>IFERROR(__xludf.DUMMYFUNCTION("IFNA(INDEX(GOOGLEFINANCE(""Currency:USD""&amp;$P373,""price"",DATE(YEAR($L373),MONTH($L373),DAY($L373))),2,2),LOOKUP(P373,CurrencyCodes,UnitsPerUSD))"),1.0)</f>
        <v>1</v>
      </c>
      <c r="R373" s="17">
        <f t="shared" si="3"/>
        <v>1148166</v>
      </c>
    </row>
    <row r="374">
      <c r="A374" s="7">
        <v>43974.46304724537</v>
      </c>
      <c r="B374" s="8" t="s">
        <v>18</v>
      </c>
      <c r="C374" s="9">
        <v>4468.0</v>
      </c>
      <c r="D374" s="8" t="s">
        <v>1385</v>
      </c>
      <c r="E374" s="8" t="s">
        <v>1386</v>
      </c>
      <c r="F374" s="8" t="s">
        <v>1375</v>
      </c>
      <c r="G374" s="9">
        <v>32060.0</v>
      </c>
      <c r="H374" s="10" t="s">
        <v>1173</v>
      </c>
      <c r="I374" s="10" t="s">
        <v>24</v>
      </c>
      <c r="J374" s="11">
        <v>310000.0</v>
      </c>
      <c r="K374" s="10" t="s">
        <v>25</v>
      </c>
      <c r="L374" s="25">
        <v>43922.0</v>
      </c>
      <c r="M374" s="14" t="s">
        <v>1387</v>
      </c>
      <c r="N374" s="10"/>
      <c r="O374" s="15">
        <f t="shared" si="1"/>
        <v>2020</v>
      </c>
      <c r="P374" s="16" t="str">
        <f t="shared" si="2"/>
        <v>USD</v>
      </c>
      <c r="Q374" s="15">
        <f>IFERROR(__xludf.DUMMYFUNCTION("IFNA(INDEX(GOOGLEFINANCE(""Currency:USD""&amp;$P374,""price"",DATE(YEAR($L374),MONTH($L374),DAY($L374))),2,2),LOOKUP(P374,CurrencyCodes,UnitsPerUSD))"),1.0)</f>
        <v>1</v>
      </c>
      <c r="R374" s="17">
        <f t="shared" si="3"/>
        <v>310000</v>
      </c>
    </row>
    <row r="375">
      <c r="A375" s="7">
        <v>43916.91234751158</v>
      </c>
      <c r="B375" s="18" t="s">
        <v>18</v>
      </c>
      <c r="C375" s="19">
        <v>918.0</v>
      </c>
      <c r="D375" s="18" t="s">
        <v>1388</v>
      </c>
      <c r="E375" s="18" t="s">
        <v>1389</v>
      </c>
      <c r="F375" s="18" t="s">
        <v>1375</v>
      </c>
      <c r="G375" s="19">
        <v>32507.0</v>
      </c>
      <c r="H375" s="21" t="s">
        <v>1173</v>
      </c>
      <c r="I375" s="21" t="s">
        <v>24</v>
      </c>
      <c r="J375" s="11">
        <v>180000.0</v>
      </c>
      <c r="K375" s="21" t="s">
        <v>25</v>
      </c>
      <c r="L375" s="25">
        <v>43595.0</v>
      </c>
      <c r="M375" s="24" t="s">
        <v>1390</v>
      </c>
      <c r="N375" s="27" t="s">
        <v>1391</v>
      </c>
      <c r="O375" s="15">
        <f t="shared" si="1"/>
        <v>2019</v>
      </c>
      <c r="P375" s="16" t="str">
        <f t="shared" si="2"/>
        <v>USD</v>
      </c>
      <c r="Q375" s="15">
        <f>IFERROR(__xludf.DUMMYFUNCTION("IFNA(INDEX(GOOGLEFINANCE(""Currency:USD""&amp;$P375,""price"",DATE(YEAR($L375),MONTH($L375),DAY($L375))),2,2),LOOKUP(P375,CurrencyCodes,UnitsPerUSD))"),1.0)</f>
        <v>1</v>
      </c>
      <c r="R375" s="17">
        <f t="shared" si="3"/>
        <v>180000</v>
      </c>
    </row>
    <row r="376">
      <c r="A376" s="7">
        <v>43919.636869548616</v>
      </c>
      <c r="B376" s="18" t="s">
        <v>18</v>
      </c>
      <c r="C376" s="19">
        <v>9844.0</v>
      </c>
      <c r="D376" s="18" t="s">
        <v>1392</v>
      </c>
      <c r="E376" s="18" t="s">
        <v>1393</v>
      </c>
      <c r="F376" s="18" t="s">
        <v>1375</v>
      </c>
      <c r="G376" s="9">
        <v>33592.0</v>
      </c>
      <c r="H376" s="21" t="s">
        <v>1173</v>
      </c>
      <c r="I376" s="21" t="s">
        <v>39</v>
      </c>
      <c r="J376" s="11">
        <v>300000.0</v>
      </c>
      <c r="K376" s="21" t="s">
        <v>25</v>
      </c>
      <c r="L376" s="25">
        <v>43906.0</v>
      </c>
      <c r="M376" s="24" t="s">
        <v>1394</v>
      </c>
      <c r="N376" s="27" t="s">
        <v>1395</v>
      </c>
      <c r="O376" s="15">
        <f t="shared" si="1"/>
        <v>2020</v>
      </c>
      <c r="P376" s="16" t="str">
        <f t="shared" si="2"/>
        <v>USD</v>
      </c>
      <c r="Q376" s="15">
        <f>IFERROR(__xludf.DUMMYFUNCTION("IFNA(INDEX(GOOGLEFINANCE(""Currency:USD""&amp;$P376,""price"",DATE(YEAR($L376),MONTH($L376),DAY($L376))),2,2),LOOKUP(P376,CurrencyCodes,UnitsPerUSD))"),1.0)</f>
        <v>1</v>
      </c>
      <c r="R376" s="17">
        <f t="shared" si="3"/>
        <v>300000</v>
      </c>
    </row>
    <row r="377">
      <c r="A377" s="7">
        <v>43897.64073675926</v>
      </c>
      <c r="B377" s="8" t="s">
        <v>18</v>
      </c>
      <c r="C377" s="9">
        <v>44.0</v>
      </c>
      <c r="D377" s="8" t="s">
        <v>1396</v>
      </c>
      <c r="E377" s="8" t="s">
        <v>1397</v>
      </c>
      <c r="F377" s="8" t="s">
        <v>1398</v>
      </c>
      <c r="G377" s="9"/>
      <c r="H377" s="10" t="s">
        <v>1173</v>
      </c>
      <c r="I377" s="10" t="s">
        <v>39</v>
      </c>
      <c r="J377" s="11">
        <v>135000.0</v>
      </c>
      <c r="K377" s="10" t="s">
        <v>25</v>
      </c>
      <c r="L377" s="25">
        <v>43680.0</v>
      </c>
      <c r="M377" s="10"/>
      <c r="N377" s="10" t="s">
        <v>1399</v>
      </c>
      <c r="O377" s="15">
        <f t="shared" si="1"/>
        <v>2019</v>
      </c>
      <c r="P377" s="16" t="str">
        <f t="shared" si="2"/>
        <v>USD</v>
      </c>
      <c r="Q377" s="15">
        <f>IFERROR(__xludf.DUMMYFUNCTION("IFNA(INDEX(GOOGLEFINANCE(""Currency:USD""&amp;$P377,""price"",DATE(YEAR($L377),MONTH($L377),DAY($L377))),2,2),LOOKUP(P377,CurrencyCodes,UnitsPerUSD))"),1.0)</f>
        <v>1</v>
      </c>
      <c r="R377" s="17">
        <f t="shared" si="3"/>
        <v>135000</v>
      </c>
    </row>
    <row r="378">
      <c r="A378" s="7">
        <v>43931.58449655093</v>
      </c>
      <c r="B378" s="18" t="s">
        <v>18</v>
      </c>
      <c r="C378" s="9">
        <v>4444.0</v>
      </c>
      <c r="D378" s="8" t="s">
        <v>1400</v>
      </c>
      <c r="E378" s="18" t="s">
        <v>1401</v>
      </c>
      <c r="F378" s="8" t="s">
        <v>1398</v>
      </c>
      <c r="G378" s="9">
        <v>30338.0</v>
      </c>
      <c r="H378" s="21" t="s">
        <v>1173</v>
      </c>
      <c r="I378" s="21" t="s">
        <v>39</v>
      </c>
      <c r="J378" s="11">
        <v>4000000.0</v>
      </c>
      <c r="K378" s="21" t="s">
        <v>25</v>
      </c>
      <c r="L378" s="25">
        <v>43617.0</v>
      </c>
      <c r="M378" s="24" t="s">
        <v>1402</v>
      </c>
      <c r="N378" s="27" t="s">
        <v>1403</v>
      </c>
      <c r="O378" s="15">
        <f t="shared" si="1"/>
        <v>2019</v>
      </c>
      <c r="P378" s="16" t="str">
        <f t="shared" si="2"/>
        <v>USD</v>
      </c>
      <c r="Q378" s="15">
        <f>IFERROR(__xludf.DUMMYFUNCTION("IFNA(INDEX(GOOGLEFINANCE(""Currency:USD""&amp;$P378,""price"",DATE(YEAR($L378),MONTH($L378),DAY($L378))),2,2),LOOKUP(P378,CurrencyCodes,UnitsPerUSD))"),1.0)</f>
        <v>1</v>
      </c>
      <c r="R378" s="17">
        <f t="shared" si="3"/>
        <v>4000000</v>
      </c>
    </row>
    <row r="379">
      <c r="A379" s="7">
        <v>43905.478600648144</v>
      </c>
      <c r="B379" s="18" t="s">
        <v>18</v>
      </c>
      <c r="C379" s="9">
        <v>276.0</v>
      </c>
      <c r="D379" s="8" t="s">
        <v>1404</v>
      </c>
      <c r="E379" s="18" t="s">
        <v>1405</v>
      </c>
      <c r="F379" s="8" t="s">
        <v>1398</v>
      </c>
      <c r="G379" s="9">
        <v>31032.0</v>
      </c>
      <c r="H379" s="21" t="s">
        <v>1173</v>
      </c>
      <c r="I379" s="21" t="s">
        <v>39</v>
      </c>
      <c r="J379" s="11">
        <v>95000.0</v>
      </c>
      <c r="K379" s="21" t="s">
        <v>25</v>
      </c>
      <c r="L379" s="25">
        <v>43525.0</v>
      </c>
      <c r="M379" s="28" t="s">
        <v>1406</v>
      </c>
      <c r="N379" s="10" t="s">
        <v>1407</v>
      </c>
      <c r="O379" s="15">
        <f t="shared" si="1"/>
        <v>2019</v>
      </c>
      <c r="P379" s="16" t="str">
        <f t="shared" si="2"/>
        <v>USD</v>
      </c>
      <c r="Q379" s="15">
        <f>IFERROR(__xludf.DUMMYFUNCTION("IFNA(INDEX(GOOGLEFINANCE(""Currency:USD""&amp;$P379,""price"",DATE(YEAR($L379),MONTH($L379),DAY($L379))),2,2),LOOKUP(P379,CurrencyCodes,UnitsPerUSD))"),1.0)</f>
        <v>1</v>
      </c>
      <c r="R379" s="17">
        <f t="shared" si="3"/>
        <v>95000</v>
      </c>
    </row>
    <row r="380">
      <c r="A380" s="7">
        <v>43907.813493912035</v>
      </c>
      <c r="B380" s="18" t="s">
        <v>18</v>
      </c>
      <c r="C380" s="19">
        <v>971.0</v>
      </c>
      <c r="D380" s="18" t="s">
        <v>1408</v>
      </c>
      <c r="E380" s="18" t="s">
        <v>1409</v>
      </c>
      <c r="F380" s="8" t="s">
        <v>1398</v>
      </c>
      <c r="G380" s="19">
        <v>30143.0</v>
      </c>
      <c r="H380" s="21" t="s">
        <v>1173</v>
      </c>
      <c r="I380" s="21" t="s">
        <v>24</v>
      </c>
      <c r="J380" s="11">
        <v>395000.0</v>
      </c>
      <c r="K380" s="27" t="s">
        <v>25</v>
      </c>
      <c r="L380" s="22"/>
      <c r="M380" s="31" t="s">
        <v>1410</v>
      </c>
      <c r="N380" s="21"/>
      <c r="O380" s="15" t="str">
        <f t="shared" si="1"/>
        <v>Unknown</v>
      </c>
      <c r="P380" s="16" t="str">
        <f t="shared" si="2"/>
        <v>USD</v>
      </c>
      <c r="Q380" s="15">
        <f>IFERROR(__xludf.DUMMYFUNCTION("IFNA(INDEX(GOOGLEFINANCE(""Currency:USD""&amp;$P380,""price"",DATE(YEAR($L380),MONTH($L380),DAY($L380))),2,2),LOOKUP(P380,CurrencyCodes,UnitsPerUSD))"),1.0)</f>
        <v>1</v>
      </c>
      <c r="R380" s="17">
        <f t="shared" si="3"/>
        <v>395000</v>
      </c>
    </row>
    <row r="381">
      <c r="A381" s="7">
        <v>43907.84115586805</v>
      </c>
      <c r="B381" s="18" t="s">
        <v>18</v>
      </c>
      <c r="C381" s="19">
        <v>9901.0</v>
      </c>
      <c r="D381" s="18" t="s">
        <v>1411</v>
      </c>
      <c r="E381" s="18" t="s">
        <v>1412</v>
      </c>
      <c r="F381" s="18" t="s">
        <v>1398</v>
      </c>
      <c r="G381" s="19">
        <v>30238.0</v>
      </c>
      <c r="H381" s="21" t="s">
        <v>1173</v>
      </c>
      <c r="I381" s="21" t="s">
        <v>39</v>
      </c>
      <c r="J381" s="11">
        <v>595000.0</v>
      </c>
      <c r="K381" s="21" t="s">
        <v>25</v>
      </c>
      <c r="L381" s="25">
        <v>43101.0</v>
      </c>
      <c r="M381" s="31" t="s">
        <v>1413</v>
      </c>
      <c r="N381" s="21"/>
      <c r="O381" s="15">
        <f t="shared" si="1"/>
        <v>2018</v>
      </c>
      <c r="P381" s="16" t="str">
        <f t="shared" si="2"/>
        <v>USD</v>
      </c>
      <c r="Q381" s="15">
        <f>IFERROR(__xludf.DUMMYFUNCTION("IFNA(INDEX(GOOGLEFINANCE(""Currency:USD""&amp;$P381,""price"",DATE(YEAR($L381),MONTH($L381),DAY($L381))),2,2),LOOKUP(P381,CurrencyCodes,UnitsPerUSD))"),1.0)</f>
        <v>1</v>
      </c>
      <c r="R381" s="17">
        <f t="shared" si="3"/>
        <v>595000</v>
      </c>
    </row>
    <row r="382">
      <c r="A382" s="7">
        <v>43913.81350452546</v>
      </c>
      <c r="B382" s="18" t="s">
        <v>18</v>
      </c>
      <c r="C382" s="9">
        <v>111.0</v>
      </c>
      <c r="D382" s="8" t="s">
        <v>1414</v>
      </c>
      <c r="E382" s="18" t="s">
        <v>1415</v>
      </c>
      <c r="F382" s="8" t="s">
        <v>1398</v>
      </c>
      <c r="G382" s="9">
        <v>31063.0</v>
      </c>
      <c r="H382" s="21" t="s">
        <v>1173</v>
      </c>
      <c r="I382" s="21" t="s">
        <v>24</v>
      </c>
      <c r="J382" s="11">
        <v>110000.0</v>
      </c>
      <c r="K382" s="21" t="s">
        <v>25</v>
      </c>
      <c r="L382" s="25">
        <v>43891.0</v>
      </c>
      <c r="M382" s="14" t="s">
        <v>1416</v>
      </c>
      <c r="N382" s="21"/>
      <c r="O382" s="15">
        <f t="shared" si="1"/>
        <v>2020</v>
      </c>
      <c r="P382" s="16" t="str">
        <f t="shared" si="2"/>
        <v>USD</v>
      </c>
      <c r="Q382" s="15">
        <f>IFERROR(__xludf.DUMMYFUNCTION("IFNA(INDEX(GOOGLEFINANCE(""Currency:USD""&amp;$P382,""price"",DATE(YEAR($L382),MONTH($L382),DAY($L382))),2,2),LOOKUP(P382,CurrencyCodes,UnitsPerUSD))"),1.0)</f>
        <v>1</v>
      </c>
      <c r="R382" s="17">
        <f t="shared" si="3"/>
        <v>110000</v>
      </c>
    </row>
    <row r="383">
      <c r="A383" s="7">
        <v>43995.68262107639</v>
      </c>
      <c r="B383" s="18" t="s">
        <v>1417</v>
      </c>
      <c r="C383" s="19">
        <v>5156.0</v>
      </c>
      <c r="D383" s="18" t="s">
        <v>1418</v>
      </c>
      <c r="E383" s="18" t="s">
        <v>1419</v>
      </c>
      <c r="F383" s="18" t="s">
        <v>1420</v>
      </c>
      <c r="G383" s="19">
        <v>96821.0</v>
      </c>
      <c r="H383" s="21" t="s">
        <v>1173</v>
      </c>
      <c r="I383" s="21" t="s">
        <v>39</v>
      </c>
      <c r="J383" s="11">
        <v>7600000.0</v>
      </c>
      <c r="K383" s="21" t="s">
        <v>25</v>
      </c>
      <c r="L383" s="25">
        <v>41836.0</v>
      </c>
      <c r="M383" s="24" t="s">
        <v>1421</v>
      </c>
      <c r="N383" s="12" t="s">
        <v>1422</v>
      </c>
      <c r="O383" s="15">
        <f t="shared" si="1"/>
        <v>2014</v>
      </c>
      <c r="P383" s="16" t="str">
        <f t="shared" si="2"/>
        <v>USD</v>
      </c>
      <c r="Q383" s="15">
        <f>IFERROR(__xludf.DUMMYFUNCTION("IFNA(INDEX(GOOGLEFINANCE(""Currency:USD""&amp;$P383,""price"",DATE(YEAR($L383),MONTH($L383),DAY($L383))),2,2),LOOKUP(P383,CurrencyCodes,UnitsPerUSD))"),1.0)</f>
        <v>1</v>
      </c>
      <c r="R383" s="17">
        <f t="shared" si="3"/>
        <v>7600000</v>
      </c>
    </row>
    <row r="384">
      <c r="A384" s="7">
        <v>43943.18238107639</v>
      </c>
      <c r="B384" s="18" t="s">
        <v>18</v>
      </c>
      <c r="C384" s="19">
        <v>1700.0</v>
      </c>
      <c r="D384" s="18" t="s">
        <v>1423</v>
      </c>
      <c r="E384" s="18" t="s">
        <v>1424</v>
      </c>
      <c r="F384" s="18" t="s">
        <v>1425</v>
      </c>
      <c r="G384" s="19">
        <v>52404.0</v>
      </c>
      <c r="H384" s="21" t="s">
        <v>1173</v>
      </c>
      <c r="I384" s="21" t="s">
        <v>39</v>
      </c>
      <c r="J384" s="11">
        <v>199500.0</v>
      </c>
      <c r="K384" s="21" t="s">
        <v>25</v>
      </c>
      <c r="L384" s="25">
        <v>38257.0</v>
      </c>
      <c r="M384" s="24" t="s">
        <v>1426</v>
      </c>
      <c r="N384" s="21" t="s">
        <v>1427</v>
      </c>
      <c r="O384" s="15">
        <f t="shared" si="1"/>
        <v>2004</v>
      </c>
      <c r="P384" s="16" t="str">
        <f t="shared" si="2"/>
        <v>USD</v>
      </c>
      <c r="Q384" s="15">
        <f>IFERROR(__xludf.DUMMYFUNCTION("IFNA(INDEX(GOOGLEFINANCE(""Currency:USD""&amp;$P384,""price"",DATE(YEAR($L384),MONTH($L384),DAY($L384))),2,2),LOOKUP(P384,CurrencyCodes,UnitsPerUSD))"),1.0)</f>
        <v>1</v>
      </c>
      <c r="R384" s="17">
        <f t="shared" si="3"/>
        <v>199500</v>
      </c>
    </row>
    <row r="385">
      <c r="A385" s="7">
        <v>43943.19845560185</v>
      </c>
      <c r="B385" s="18" t="s">
        <v>18</v>
      </c>
      <c r="C385" s="19">
        <v>605.0</v>
      </c>
      <c r="D385" s="18" t="s">
        <v>1428</v>
      </c>
      <c r="E385" s="18" t="s">
        <v>1429</v>
      </c>
      <c r="F385" s="18" t="s">
        <v>1425</v>
      </c>
      <c r="G385" s="19">
        <v>50616.0</v>
      </c>
      <c r="H385" s="21" t="s">
        <v>1173</v>
      </c>
      <c r="I385" s="21" t="s">
        <v>39</v>
      </c>
      <c r="J385" s="11">
        <v>69900.0</v>
      </c>
      <c r="K385" s="21" t="s">
        <v>25</v>
      </c>
      <c r="L385" s="25">
        <v>43252.0</v>
      </c>
      <c r="M385" s="31" t="s">
        <v>1430</v>
      </c>
      <c r="N385" s="10"/>
      <c r="O385" s="15">
        <f t="shared" si="1"/>
        <v>2018</v>
      </c>
      <c r="P385" s="16" t="str">
        <f t="shared" si="2"/>
        <v>USD</v>
      </c>
      <c r="Q385" s="15">
        <f>IFERROR(__xludf.DUMMYFUNCTION("IFNA(INDEX(GOOGLEFINANCE(""Currency:USD""&amp;$P385,""price"",DATE(YEAR($L385),MONTH($L385),DAY($L385))),2,2),LOOKUP(P385,CurrencyCodes,UnitsPerUSD))"),1.0)</f>
        <v>1</v>
      </c>
      <c r="R385" s="17">
        <f t="shared" si="3"/>
        <v>69900</v>
      </c>
    </row>
    <row r="386">
      <c r="A386" s="7">
        <v>43943.20758206019</v>
      </c>
      <c r="B386" s="18" t="s">
        <v>18</v>
      </c>
      <c r="C386" s="9">
        <v>3704.0</v>
      </c>
      <c r="D386" s="8" t="s">
        <v>1431</v>
      </c>
      <c r="E386" s="18" t="s">
        <v>1203</v>
      </c>
      <c r="F386" s="8" t="s">
        <v>1425</v>
      </c>
      <c r="G386" s="19">
        <v>52732.0</v>
      </c>
      <c r="H386" s="21" t="s">
        <v>1173</v>
      </c>
      <c r="I386" s="21" t="s">
        <v>39</v>
      </c>
      <c r="J386" s="11">
        <v>0.0</v>
      </c>
      <c r="K386" s="27" t="s">
        <v>25</v>
      </c>
      <c r="L386" s="22"/>
      <c r="M386" s="24" t="s">
        <v>1432</v>
      </c>
      <c r="N386" s="10" t="s">
        <v>1433</v>
      </c>
      <c r="O386" s="15" t="str">
        <f t="shared" si="1"/>
        <v>Unknown</v>
      </c>
      <c r="P386" s="16" t="str">
        <f t="shared" si="2"/>
        <v>USD</v>
      </c>
      <c r="Q386" s="15">
        <f>IFERROR(__xludf.DUMMYFUNCTION("IFNA(INDEX(GOOGLEFINANCE(""Currency:USD""&amp;$P386,""price"",DATE(YEAR($L386),MONTH($L386),DAY($L386))),2,2),LOOKUP(P386,CurrencyCodes,UnitsPerUSD))"),1.0)</f>
        <v>1</v>
      </c>
      <c r="R386" s="17">
        <f t="shared" si="3"/>
        <v>0</v>
      </c>
    </row>
    <row r="387">
      <c r="A387" s="7">
        <v>43943.21112623843</v>
      </c>
      <c r="B387" s="18" t="s">
        <v>18</v>
      </c>
      <c r="C387" s="19">
        <v>3956.0</v>
      </c>
      <c r="D387" s="18" t="s">
        <v>1434</v>
      </c>
      <c r="E387" s="18" t="s">
        <v>1435</v>
      </c>
      <c r="F387" s="8" t="s">
        <v>1425</v>
      </c>
      <c r="G387" s="19">
        <v>52806.0</v>
      </c>
      <c r="H387" s="21" t="s">
        <v>1173</v>
      </c>
      <c r="I387" s="21" t="s">
        <v>39</v>
      </c>
      <c r="J387" s="11">
        <v>207500.0</v>
      </c>
      <c r="K387" s="21" t="s">
        <v>25</v>
      </c>
      <c r="L387" s="25">
        <v>38518.0</v>
      </c>
      <c r="M387" s="24" t="s">
        <v>1436</v>
      </c>
      <c r="N387" s="10" t="s">
        <v>1437</v>
      </c>
      <c r="O387" s="15">
        <f t="shared" si="1"/>
        <v>2005</v>
      </c>
      <c r="P387" s="16" t="str">
        <f t="shared" si="2"/>
        <v>USD</v>
      </c>
      <c r="Q387" s="15">
        <f>IFERROR(__xludf.DUMMYFUNCTION("IFNA(INDEX(GOOGLEFINANCE(""Currency:USD""&amp;$P387,""price"",DATE(YEAR($L387),MONTH($L387),DAY($L387))),2,2),LOOKUP(P387,CurrencyCodes,UnitsPerUSD))"),1.0)</f>
        <v>1</v>
      </c>
      <c r="R387" s="17">
        <f t="shared" si="3"/>
        <v>207500</v>
      </c>
    </row>
    <row r="388">
      <c r="A388" s="7">
        <v>43943.21544994213</v>
      </c>
      <c r="B388" s="18" t="s">
        <v>18</v>
      </c>
      <c r="C388" s="9">
        <v>927.0</v>
      </c>
      <c r="D388" s="8" t="s">
        <v>1438</v>
      </c>
      <c r="E388" s="18" t="s">
        <v>1439</v>
      </c>
      <c r="F388" s="8" t="s">
        <v>1425</v>
      </c>
      <c r="G388" s="19">
        <v>52040.0</v>
      </c>
      <c r="H388" s="21" t="s">
        <v>1173</v>
      </c>
      <c r="I388" s="21" t="s">
        <v>39</v>
      </c>
      <c r="J388" s="11">
        <v>100000.0</v>
      </c>
      <c r="K388" s="21" t="s">
        <v>25</v>
      </c>
      <c r="L388" s="25">
        <v>42621.0</v>
      </c>
      <c r="M388" s="24" t="s">
        <v>1440</v>
      </c>
      <c r="N388" s="12" t="s">
        <v>1441</v>
      </c>
      <c r="O388" s="15">
        <f t="shared" si="1"/>
        <v>2016</v>
      </c>
      <c r="P388" s="16" t="str">
        <f t="shared" si="2"/>
        <v>USD</v>
      </c>
      <c r="Q388" s="15">
        <f>IFERROR(__xludf.DUMMYFUNCTION("IFNA(INDEX(GOOGLEFINANCE(""Currency:USD""&amp;$P388,""price"",DATE(YEAR($L388),MONTH($L388),DAY($L388))),2,2),LOOKUP(P388,CurrencyCodes,UnitsPerUSD))"),1.0)</f>
        <v>1</v>
      </c>
      <c r="R388" s="17">
        <f t="shared" si="3"/>
        <v>100000</v>
      </c>
    </row>
    <row r="389">
      <c r="A389" s="7">
        <v>43904.763242175926</v>
      </c>
      <c r="B389" s="18" t="s">
        <v>18</v>
      </c>
      <c r="C389" s="9"/>
      <c r="D389" s="8" t="s">
        <v>1442</v>
      </c>
      <c r="E389" s="18" t="s">
        <v>1443</v>
      </c>
      <c r="F389" s="8" t="s">
        <v>1425</v>
      </c>
      <c r="G389" s="19"/>
      <c r="H389" s="21" t="s">
        <v>1173</v>
      </c>
      <c r="I389" s="21" t="s">
        <v>39</v>
      </c>
      <c r="J389" s="11">
        <v>0.0</v>
      </c>
      <c r="K389" s="27" t="s">
        <v>25</v>
      </c>
      <c r="L389" s="22"/>
      <c r="M389" s="21"/>
      <c r="N389" s="21" t="s">
        <v>759</v>
      </c>
      <c r="O389" s="15" t="str">
        <f t="shared" si="1"/>
        <v>Unknown</v>
      </c>
      <c r="P389" s="16" t="str">
        <f t="shared" si="2"/>
        <v>USD</v>
      </c>
      <c r="Q389" s="15">
        <f>IFERROR(__xludf.DUMMYFUNCTION("IFNA(INDEX(GOOGLEFINANCE(""Currency:USD""&amp;$P389,""price"",DATE(YEAR($L389),MONTH($L389),DAY($L389))),2,2),LOOKUP(P389,CurrencyCodes,UnitsPerUSD))"),1.0)</f>
        <v>1</v>
      </c>
      <c r="R389" s="17">
        <f t="shared" si="3"/>
        <v>0</v>
      </c>
    </row>
    <row r="390">
      <c r="A390" s="7">
        <v>43943.21956017361</v>
      </c>
      <c r="B390" s="8" t="s">
        <v>18</v>
      </c>
      <c r="C390" s="9">
        <v>395.0</v>
      </c>
      <c r="D390" s="8" t="s">
        <v>1444</v>
      </c>
      <c r="E390" s="8" t="s">
        <v>1445</v>
      </c>
      <c r="F390" s="8" t="s">
        <v>1425</v>
      </c>
      <c r="G390" s="9">
        <v>50438.0</v>
      </c>
      <c r="H390" s="10" t="s">
        <v>1173</v>
      </c>
      <c r="I390" s="10" t="s">
        <v>39</v>
      </c>
      <c r="J390" s="11">
        <v>45000.0</v>
      </c>
      <c r="K390" s="10" t="s">
        <v>25</v>
      </c>
      <c r="L390" s="25">
        <v>40550.0</v>
      </c>
      <c r="M390" s="28" t="s">
        <v>1446</v>
      </c>
      <c r="N390" s="12" t="s">
        <v>1447</v>
      </c>
      <c r="O390" s="15">
        <f t="shared" si="1"/>
        <v>2011</v>
      </c>
      <c r="P390" s="16" t="str">
        <f t="shared" si="2"/>
        <v>USD</v>
      </c>
      <c r="Q390" s="15">
        <f>IFERROR(__xludf.DUMMYFUNCTION("IFNA(INDEX(GOOGLEFINANCE(""Currency:USD""&amp;$P390,""price"",DATE(YEAR($L390),MONTH($L390),DAY($L390))),2,2),LOOKUP(P390,CurrencyCodes,UnitsPerUSD))"),1.0)</f>
        <v>1</v>
      </c>
      <c r="R390" s="17">
        <f t="shared" si="3"/>
        <v>45000</v>
      </c>
    </row>
    <row r="391">
      <c r="A391" s="7">
        <v>43943.22205831019</v>
      </c>
      <c r="B391" s="18" t="s">
        <v>18</v>
      </c>
      <c r="C391" s="19">
        <v>207.0</v>
      </c>
      <c r="D391" s="18" t="s">
        <v>1448</v>
      </c>
      <c r="E391" s="18" t="s">
        <v>1449</v>
      </c>
      <c r="F391" s="8" t="s">
        <v>1425</v>
      </c>
      <c r="G391" s="19">
        <v>50115.0</v>
      </c>
      <c r="H391" s="21" t="s">
        <v>1173</v>
      </c>
      <c r="I391" s="21" t="s">
        <v>39</v>
      </c>
      <c r="J391" s="11">
        <v>148000.0</v>
      </c>
      <c r="K391" s="21" t="s">
        <v>25</v>
      </c>
      <c r="L391" s="25">
        <v>39925.0</v>
      </c>
      <c r="M391" s="24" t="s">
        <v>1450</v>
      </c>
      <c r="N391" s="12" t="s">
        <v>1451</v>
      </c>
      <c r="O391" s="15">
        <f t="shared" si="1"/>
        <v>2009</v>
      </c>
      <c r="P391" s="16" t="str">
        <f t="shared" si="2"/>
        <v>USD</v>
      </c>
      <c r="Q391" s="15">
        <f>IFERROR(__xludf.DUMMYFUNCTION("IFNA(INDEX(GOOGLEFINANCE(""Currency:USD""&amp;$P391,""price"",DATE(YEAR($L391),MONTH($L391),DAY($L391))),2,2),LOOKUP(P391,CurrencyCodes,UnitsPerUSD))"),1.0)</f>
        <v>1</v>
      </c>
      <c r="R391" s="17">
        <f t="shared" si="3"/>
        <v>148000</v>
      </c>
    </row>
    <row r="392">
      <c r="A392" s="7">
        <v>43943.22395997685</v>
      </c>
      <c r="B392" s="18" t="s">
        <v>18</v>
      </c>
      <c r="C392" s="19">
        <v>1301.0</v>
      </c>
      <c r="D392" s="18" t="s">
        <v>1452</v>
      </c>
      <c r="E392" s="18" t="s">
        <v>1453</v>
      </c>
      <c r="F392" s="18" t="s">
        <v>1425</v>
      </c>
      <c r="G392" s="19">
        <v>51537.0</v>
      </c>
      <c r="H392" s="21" t="s">
        <v>1173</v>
      </c>
      <c r="I392" s="21" t="s">
        <v>24</v>
      </c>
      <c r="J392" s="11">
        <v>120000.0</v>
      </c>
      <c r="K392" s="27" t="s">
        <v>25</v>
      </c>
      <c r="L392" s="22"/>
      <c r="M392" s="31" t="s">
        <v>1454</v>
      </c>
      <c r="N392" s="21"/>
      <c r="O392" s="15" t="str">
        <f t="shared" si="1"/>
        <v>Unknown</v>
      </c>
      <c r="P392" s="16" t="str">
        <f t="shared" si="2"/>
        <v>USD</v>
      </c>
      <c r="Q392" s="15">
        <f>IFERROR(__xludf.DUMMYFUNCTION("IFNA(INDEX(GOOGLEFINANCE(""Currency:USD""&amp;$P392,""price"",DATE(YEAR($L392),MONTH($L392),DAY($L392))),2,2),LOOKUP(P392,CurrencyCodes,UnitsPerUSD))"),1.0)</f>
        <v>1</v>
      </c>
      <c r="R392" s="17">
        <f t="shared" si="3"/>
        <v>120000</v>
      </c>
    </row>
    <row r="393">
      <c r="A393" s="7">
        <v>43943.228393425925</v>
      </c>
      <c r="B393" s="8" t="s">
        <v>18</v>
      </c>
      <c r="C393" s="9">
        <v>909.0</v>
      </c>
      <c r="D393" s="8" t="s">
        <v>1455</v>
      </c>
      <c r="E393" s="8" t="s">
        <v>1456</v>
      </c>
      <c r="F393" s="8" t="s">
        <v>1425</v>
      </c>
      <c r="G393" s="9">
        <v>50208.0</v>
      </c>
      <c r="H393" s="10" t="s">
        <v>1173</v>
      </c>
      <c r="I393" s="10" t="s">
        <v>39</v>
      </c>
      <c r="J393" s="11">
        <v>0.0</v>
      </c>
      <c r="K393" s="12" t="s">
        <v>25</v>
      </c>
      <c r="L393" s="13"/>
      <c r="M393" s="28" t="s">
        <v>1457</v>
      </c>
      <c r="N393" s="10" t="s">
        <v>1458</v>
      </c>
      <c r="O393" s="15" t="str">
        <f t="shared" si="1"/>
        <v>Unknown</v>
      </c>
      <c r="P393" s="16" t="str">
        <f t="shared" si="2"/>
        <v>USD</v>
      </c>
      <c r="Q393" s="15">
        <f>IFERROR(__xludf.DUMMYFUNCTION("IFNA(INDEX(GOOGLEFINANCE(""Currency:USD""&amp;$P393,""price"",DATE(YEAR($L393),MONTH($L393),DAY($L393))),2,2),LOOKUP(P393,CurrencyCodes,UnitsPerUSD))"),1.0)</f>
        <v>1</v>
      </c>
      <c r="R393" s="17">
        <f t="shared" si="3"/>
        <v>0</v>
      </c>
    </row>
    <row r="394">
      <c r="A394" s="7">
        <v>43916.91504234954</v>
      </c>
      <c r="B394" s="18" t="s">
        <v>18</v>
      </c>
      <c r="C394" s="9">
        <v>2420.0</v>
      </c>
      <c r="D394" s="18" t="s">
        <v>1459</v>
      </c>
      <c r="E394" s="18" t="s">
        <v>1460</v>
      </c>
      <c r="F394" s="8" t="s">
        <v>1425</v>
      </c>
      <c r="G394" s="19">
        <v>50220.0</v>
      </c>
      <c r="H394" s="21" t="s">
        <v>1173</v>
      </c>
      <c r="I394" s="21" t="s">
        <v>39</v>
      </c>
      <c r="J394" s="11">
        <v>69900.0</v>
      </c>
      <c r="K394" s="21" t="s">
        <v>25</v>
      </c>
      <c r="L394" s="25">
        <v>43305.0</v>
      </c>
      <c r="M394" s="31" t="s">
        <v>1461</v>
      </c>
      <c r="N394" s="21"/>
      <c r="O394" s="15">
        <f t="shared" si="1"/>
        <v>2018</v>
      </c>
      <c r="P394" s="16" t="str">
        <f t="shared" si="2"/>
        <v>USD</v>
      </c>
      <c r="Q394" s="15">
        <f>IFERROR(__xludf.DUMMYFUNCTION("IFNA(INDEX(GOOGLEFINANCE(""Currency:USD""&amp;$P394,""price"",DATE(YEAR($L394),MONTH($L394),DAY($L394))),2,2),LOOKUP(P394,CurrencyCodes,UnitsPerUSD))"),1.0)</f>
        <v>1</v>
      </c>
      <c r="R394" s="17">
        <f t="shared" si="3"/>
        <v>69900</v>
      </c>
    </row>
    <row r="395">
      <c r="A395" s="7">
        <v>43943.23161681713</v>
      </c>
      <c r="B395" s="8" t="s">
        <v>18</v>
      </c>
      <c r="C395" s="9">
        <v>210.0</v>
      </c>
      <c r="D395" s="8" t="s">
        <v>1462</v>
      </c>
      <c r="E395" s="8" t="s">
        <v>1463</v>
      </c>
      <c r="F395" s="8" t="s">
        <v>1425</v>
      </c>
      <c r="G395" s="9">
        <v>51601.0</v>
      </c>
      <c r="H395" s="10" t="s">
        <v>1173</v>
      </c>
      <c r="I395" s="10" t="s">
        <v>24</v>
      </c>
      <c r="J395" s="11">
        <v>64900.0</v>
      </c>
      <c r="K395" s="10" t="s">
        <v>25</v>
      </c>
      <c r="L395" s="25">
        <v>43936.0</v>
      </c>
      <c r="M395" s="28" t="s">
        <v>1464</v>
      </c>
      <c r="N395" s="12" t="s">
        <v>1465</v>
      </c>
      <c r="O395" s="15">
        <f t="shared" si="1"/>
        <v>2020</v>
      </c>
      <c r="P395" s="16" t="str">
        <f t="shared" si="2"/>
        <v>USD</v>
      </c>
      <c r="Q395" s="15">
        <f>IFERROR(__xludf.DUMMYFUNCTION("IFNA(INDEX(GOOGLEFINANCE(""Currency:USD""&amp;$P395,""price"",DATE(YEAR($L395),MONTH($L395),DAY($L395))),2,2),LOOKUP(P395,CurrencyCodes,UnitsPerUSD))"),1.0)</f>
        <v>1</v>
      </c>
      <c r="R395" s="17">
        <f t="shared" si="3"/>
        <v>64900</v>
      </c>
    </row>
    <row r="396">
      <c r="A396" s="7">
        <v>43943.235343865745</v>
      </c>
      <c r="B396" s="8" t="s">
        <v>18</v>
      </c>
      <c r="C396" s="9">
        <v>2929.0</v>
      </c>
      <c r="D396" s="8" t="s">
        <v>1466</v>
      </c>
      <c r="E396" s="8" t="s">
        <v>1467</v>
      </c>
      <c r="F396" s="8" t="s">
        <v>1425</v>
      </c>
      <c r="G396" s="9">
        <v>51103.0</v>
      </c>
      <c r="H396" s="10" t="s">
        <v>1173</v>
      </c>
      <c r="I396" s="10" t="s">
        <v>39</v>
      </c>
      <c r="J396" s="11">
        <v>160000.0</v>
      </c>
      <c r="K396" s="10" t="s">
        <v>25</v>
      </c>
      <c r="L396" s="25">
        <v>42097.0</v>
      </c>
      <c r="M396" s="28" t="s">
        <v>1468</v>
      </c>
      <c r="N396" s="10" t="s">
        <v>1469</v>
      </c>
      <c r="O396" s="15">
        <f t="shared" si="1"/>
        <v>2015</v>
      </c>
      <c r="P396" s="16" t="str">
        <f t="shared" si="2"/>
        <v>USD</v>
      </c>
      <c r="Q396" s="15">
        <f>IFERROR(__xludf.DUMMYFUNCTION("IFNA(INDEX(GOOGLEFINANCE(""Currency:USD""&amp;$P396,""price"",DATE(YEAR($L396),MONTH($L396),DAY($L396))),2,2),LOOKUP(P396,CurrencyCodes,UnitsPerUSD))"),1.0)</f>
        <v>1</v>
      </c>
      <c r="R396" s="17">
        <f t="shared" si="3"/>
        <v>160000</v>
      </c>
    </row>
    <row r="397">
      <c r="A397" s="7">
        <v>43915.769833252314</v>
      </c>
      <c r="B397" s="18" t="s">
        <v>18</v>
      </c>
      <c r="C397" s="19">
        <v>315.0</v>
      </c>
      <c r="D397" s="18" t="s">
        <v>1470</v>
      </c>
      <c r="E397" s="18" t="s">
        <v>1471</v>
      </c>
      <c r="F397" s="18" t="s">
        <v>1472</v>
      </c>
      <c r="G397" s="9">
        <v>83849.0</v>
      </c>
      <c r="H397" s="21" t="s">
        <v>1173</v>
      </c>
      <c r="I397" s="21" t="s">
        <v>24</v>
      </c>
      <c r="J397" s="11">
        <v>232000.0</v>
      </c>
      <c r="K397" s="21" t="s">
        <v>25</v>
      </c>
      <c r="L397" s="25">
        <v>43902.0</v>
      </c>
      <c r="M397" s="24" t="s">
        <v>1473</v>
      </c>
      <c r="N397" s="12" t="s">
        <v>1474</v>
      </c>
      <c r="O397" s="15">
        <f t="shared" si="1"/>
        <v>2020</v>
      </c>
      <c r="P397" s="16" t="str">
        <f t="shared" si="2"/>
        <v>USD</v>
      </c>
      <c r="Q397" s="15">
        <f>IFERROR(__xludf.DUMMYFUNCTION("IFNA(INDEX(GOOGLEFINANCE(""Currency:USD""&amp;$P397,""price"",DATE(YEAR($L397),MONTH($L397),DAY($L397))),2,2),LOOKUP(P397,CurrencyCodes,UnitsPerUSD))"),1.0)</f>
        <v>1</v>
      </c>
      <c r="R397" s="17">
        <f t="shared" si="3"/>
        <v>232000</v>
      </c>
    </row>
    <row r="398">
      <c r="A398" s="7">
        <v>43916.907108831016</v>
      </c>
      <c r="B398" s="18" t="s">
        <v>18</v>
      </c>
      <c r="C398" s="19">
        <v>1145.0</v>
      </c>
      <c r="D398" s="18" t="s">
        <v>1475</v>
      </c>
      <c r="E398" s="18" t="s">
        <v>1476</v>
      </c>
      <c r="F398" s="18" t="s">
        <v>1472</v>
      </c>
      <c r="G398" s="9">
        <v>83661.0</v>
      </c>
      <c r="H398" s="21" t="s">
        <v>1173</v>
      </c>
      <c r="I398" s="21" t="s">
        <v>39</v>
      </c>
      <c r="J398" s="11">
        <v>224900.0</v>
      </c>
      <c r="K398" s="21" t="s">
        <v>25</v>
      </c>
      <c r="L398" s="25">
        <v>43405.0</v>
      </c>
      <c r="M398" s="21"/>
      <c r="N398" s="21" t="s">
        <v>1477</v>
      </c>
      <c r="O398" s="15">
        <f t="shared" si="1"/>
        <v>2018</v>
      </c>
      <c r="P398" s="16" t="str">
        <f t="shared" si="2"/>
        <v>USD</v>
      </c>
      <c r="Q398" s="15">
        <f>IFERROR(__xludf.DUMMYFUNCTION("IFNA(INDEX(GOOGLEFINANCE(""Currency:USD""&amp;$P398,""price"",DATE(YEAR($L398),MONTH($L398),DAY($L398))),2,2),LOOKUP(P398,CurrencyCodes,UnitsPerUSD))"),1.0)</f>
        <v>1</v>
      </c>
      <c r="R398" s="17">
        <f t="shared" si="3"/>
        <v>224900</v>
      </c>
    </row>
    <row r="399">
      <c r="A399" s="7">
        <v>43986.2646478588</v>
      </c>
      <c r="B399" s="18" t="s">
        <v>18</v>
      </c>
      <c r="C399" s="19">
        <v>208.0</v>
      </c>
      <c r="D399" s="18" t="s">
        <v>1478</v>
      </c>
      <c r="E399" s="18" t="s">
        <v>1479</v>
      </c>
      <c r="F399" s="18" t="s">
        <v>1480</v>
      </c>
      <c r="G399" s="19">
        <v>62906.0</v>
      </c>
      <c r="H399" s="21" t="s">
        <v>1173</v>
      </c>
      <c r="I399" s="21" t="s">
        <v>39</v>
      </c>
      <c r="J399" s="11">
        <v>0.0</v>
      </c>
      <c r="K399" s="27" t="s">
        <v>25</v>
      </c>
      <c r="L399" s="22"/>
      <c r="M399" s="24" t="s">
        <v>1481</v>
      </c>
      <c r="N399" s="27" t="s">
        <v>1482</v>
      </c>
      <c r="O399" s="15" t="str">
        <f t="shared" si="1"/>
        <v>Unknown</v>
      </c>
      <c r="P399" s="16" t="str">
        <f t="shared" si="2"/>
        <v>USD</v>
      </c>
      <c r="Q399" s="15">
        <f>IFERROR(__xludf.DUMMYFUNCTION("IFNA(INDEX(GOOGLEFINANCE(""Currency:USD""&amp;$P399,""price"",DATE(YEAR($L399),MONTH($L399),DAY($L399))),2,2),LOOKUP(P399,CurrencyCodes,UnitsPerUSD))"),1.0)</f>
        <v>1</v>
      </c>
      <c r="R399" s="17">
        <f t="shared" si="3"/>
        <v>0</v>
      </c>
    </row>
    <row r="400">
      <c r="A400" s="7">
        <v>43952.913201840274</v>
      </c>
      <c r="B400" s="18" t="s">
        <v>18</v>
      </c>
      <c r="C400" s="19">
        <v>950.0</v>
      </c>
      <c r="D400" s="18" t="s">
        <v>1483</v>
      </c>
      <c r="E400" s="18" t="s">
        <v>1484</v>
      </c>
      <c r="F400" s="18" t="s">
        <v>1480</v>
      </c>
      <c r="G400" s="19">
        <v>60010.0</v>
      </c>
      <c r="H400" s="21" t="s">
        <v>1173</v>
      </c>
      <c r="I400" s="21" t="s">
        <v>39</v>
      </c>
      <c r="J400" s="11">
        <v>460000.0</v>
      </c>
      <c r="K400" s="21" t="s">
        <v>25</v>
      </c>
      <c r="L400" s="25">
        <v>43909.0</v>
      </c>
      <c r="M400" s="24" t="s">
        <v>1485</v>
      </c>
      <c r="N400" s="12" t="s">
        <v>1486</v>
      </c>
      <c r="O400" s="15">
        <f t="shared" si="1"/>
        <v>2020</v>
      </c>
      <c r="P400" s="16" t="str">
        <f t="shared" si="2"/>
        <v>USD</v>
      </c>
      <c r="Q400" s="15">
        <f>IFERROR(__xludf.DUMMYFUNCTION("IFNA(INDEX(GOOGLEFINANCE(""Currency:USD""&amp;$P400,""price"",DATE(YEAR($L400),MONTH($L400),DAY($L400))),2,2),LOOKUP(P400,CurrencyCodes,UnitsPerUSD))"),1.0)</f>
        <v>1</v>
      </c>
      <c r="R400" s="17">
        <f t="shared" si="3"/>
        <v>460000</v>
      </c>
    </row>
    <row r="401">
      <c r="A401" s="7">
        <v>43897.225072245375</v>
      </c>
      <c r="B401" s="18" t="s">
        <v>18</v>
      </c>
      <c r="C401" s="9" t="s">
        <v>1487</v>
      </c>
      <c r="D401" s="18"/>
      <c r="E401" s="18" t="s">
        <v>1488</v>
      </c>
      <c r="F401" s="8" t="s">
        <v>1480</v>
      </c>
      <c r="G401" s="9"/>
      <c r="H401" s="21" t="s">
        <v>1173</v>
      </c>
      <c r="I401" s="21" t="s">
        <v>39</v>
      </c>
      <c r="J401" s="11">
        <v>337000.0</v>
      </c>
      <c r="K401" s="21" t="s">
        <v>25</v>
      </c>
      <c r="L401" s="25">
        <v>43633.0</v>
      </c>
      <c r="M401" s="21"/>
      <c r="N401" s="21" t="s">
        <v>1489</v>
      </c>
      <c r="O401" s="15">
        <f t="shared" si="1"/>
        <v>2019</v>
      </c>
      <c r="P401" s="16" t="str">
        <f t="shared" si="2"/>
        <v>USD</v>
      </c>
      <c r="Q401" s="15">
        <f>IFERROR(__xludf.DUMMYFUNCTION("IFNA(INDEX(GOOGLEFINANCE(""Currency:USD""&amp;$P401,""price"",DATE(YEAR($L401),MONTH($L401),DAY($L401))),2,2),LOOKUP(P401,CurrencyCodes,UnitsPerUSD))"),1.0)</f>
        <v>1</v>
      </c>
      <c r="R401" s="17">
        <f t="shared" si="3"/>
        <v>337000</v>
      </c>
    </row>
    <row r="402">
      <c r="A402" s="7">
        <v>43986.29688046296</v>
      </c>
      <c r="B402" s="18" t="s">
        <v>18</v>
      </c>
      <c r="C402" s="19">
        <v>5566.0</v>
      </c>
      <c r="D402" s="18" t="s">
        <v>1490</v>
      </c>
      <c r="E402" s="18" t="s">
        <v>1491</v>
      </c>
      <c r="F402" s="18" t="s">
        <v>1480</v>
      </c>
      <c r="G402" s="9">
        <v>61920.0</v>
      </c>
      <c r="H402" s="21" t="s">
        <v>1173</v>
      </c>
      <c r="I402" s="21" t="s">
        <v>39</v>
      </c>
      <c r="J402" s="11">
        <v>0.0</v>
      </c>
      <c r="K402" s="27" t="s">
        <v>25</v>
      </c>
      <c r="L402" s="22"/>
      <c r="M402" s="24" t="s">
        <v>1492</v>
      </c>
      <c r="N402" s="12" t="s">
        <v>1493</v>
      </c>
      <c r="O402" s="15" t="str">
        <f t="shared" si="1"/>
        <v>Unknown</v>
      </c>
      <c r="P402" s="16" t="str">
        <f t="shared" si="2"/>
        <v>USD</v>
      </c>
      <c r="Q402" s="15">
        <f>IFERROR(__xludf.DUMMYFUNCTION("IFNA(INDEX(GOOGLEFINANCE(""Currency:USD""&amp;$P402,""price"",DATE(YEAR($L402),MONTH($L402),DAY($L402))),2,2),LOOKUP(P402,CurrencyCodes,UnitsPerUSD))"),1.0)</f>
        <v>1</v>
      </c>
      <c r="R402" s="17">
        <f t="shared" si="3"/>
        <v>0</v>
      </c>
    </row>
    <row r="403">
      <c r="A403" s="7">
        <v>43897.59734820602</v>
      </c>
      <c r="B403" s="18" t="s">
        <v>18</v>
      </c>
      <c r="C403" s="19" t="s">
        <v>1494</v>
      </c>
      <c r="D403" s="18" t="s">
        <v>1495</v>
      </c>
      <c r="E403" s="18" t="s">
        <v>1496</v>
      </c>
      <c r="F403" s="18" t="s">
        <v>1480</v>
      </c>
      <c r="G403" s="19"/>
      <c r="H403" s="21" t="s">
        <v>1173</v>
      </c>
      <c r="I403" s="21" t="s">
        <v>39</v>
      </c>
      <c r="J403" s="11">
        <v>360000.0</v>
      </c>
      <c r="K403" s="27" t="s">
        <v>25</v>
      </c>
      <c r="L403" s="22"/>
      <c r="M403" s="21"/>
      <c r="N403" s="21"/>
      <c r="O403" s="15" t="str">
        <f t="shared" si="1"/>
        <v>Unknown</v>
      </c>
      <c r="P403" s="16" t="str">
        <f t="shared" si="2"/>
        <v>USD</v>
      </c>
      <c r="Q403" s="15">
        <f>IFERROR(__xludf.DUMMYFUNCTION("IFNA(INDEX(GOOGLEFINANCE(""Currency:USD""&amp;$P403,""price"",DATE(YEAR($L403),MONTH($L403),DAY($L403))),2,2),LOOKUP(P403,CurrencyCodes,UnitsPerUSD))"),1.0)</f>
        <v>1</v>
      </c>
      <c r="R403" s="17">
        <f t="shared" si="3"/>
        <v>360000</v>
      </c>
    </row>
    <row r="404">
      <c r="A404" s="7">
        <v>43897.59869438657</v>
      </c>
      <c r="B404" s="18" t="s">
        <v>18</v>
      </c>
      <c r="C404" s="19" t="s">
        <v>1497</v>
      </c>
      <c r="D404" s="18" t="s">
        <v>1498</v>
      </c>
      <c r="E404" s="18" t="s">
        <v>1496</v>
      </c>
      <c r="F404" s="18" t="s">
        <v>1480</v>
      </c>
      <c r="G404" s="19"/>
      <c r="H404" s="21" t="s">
        <v>1173</v>
      </c>
      <c r="I404" s="21" t="s">
        <v>39</v>
      </c>
      <c r="J404" s="11">
        <v>295000.0</v>
      </c>
      <c r="K404" s="21" t="s">
        <v>25</v>
      </c>
      <c r="L404" s="25">
        <v>43560.0</v>
      </c>
      <c r="M404" s="21"/>
      <c r="N404" s="10"/>
      <c r="O404" s="15">
        <f t="shared" si="1"/>
        <v>2019</v>
      </c>
      <c r="P404" s="16" t="str">
        <f t="shared" si="2"/>
        <v>USD</v>
      </c>
      <c r="Q404" s="15">
        <f>IFERROR(__xludf.DUMMYFUNCTION("IFNA(INDEX(GOOGLEFINANCE(""Currency:USD""&amp;$P404,""price"",DATE(YEAR($L404),MONTH($L404),DAY($L404))),2,2),LOOKUP(P404,CurrencyCodes,UnitsPerUSD))"),1.0)</f>
        <v>1</v>
      </c>
      <c r="R404" s="17">
        <f t="shared" si="3"/>
        <v>295000</v>
      </c>
    </row>
    <row r="405">
      <c r="A405" s="7">
        <v>43994.696040717594</v>
      </c>
      <c r="B405" s="18" t="s">
        <v>18</v>
      </c>
      <c r="C405" s="19">
        <v>935.0</v>
      </c>
      <c r="D405" s="18" t="s">
        <v>1499</v>
      </c>
      <c r="E405" s="18" t="s">
        <v>1496</v>
      </c>
      <c r="F405" s="18" t="s">
        <v>1480</v>
      </c>
      <c r="G405" s="19">
        <v>60827.0</v>
      </c>
      <c r="H405" s="21" t="s">
        <v>1173</v>
      </c>
      <c r="I405" s="21" t="s">
        <v>39</v>
      </c>
      <c r="J405" s="11">
        <v>0.0</v>
      </c>
      <c r="K405" s="21" t="s">
        <v>25</v>
      </c>
      <c r="L405" s="25">
        <v>38912.0</v>
      </c>
      <c r="M405" s="24" t="s">
        <v>1500</v>
      </c>
      <c r="N405" s="27" t="s">
        <v>1501</v>
      </c>
      <c r="O405" s="15">
        <f t="shared" si="1"/>
        <v>2006</v>
      </c>
      <c r="P405" s="16" t="str">
        <f t="shared" si="2"/>
        <v>USD</v>
      </c>
      <c r="Q405" s="15">
        <f>IFERROR(__xludf.DUMMYFUNCTION("IFNA(INDEX(GOOGLEFINANCE(""Currency:USD""&amp;$P405,""price"",DATE(YEAR($L405),MONTH($L405),DAY($L405))),2,2),LOOKUP(P405,CurrencyCodes,UnitsPerUSD))"),1.0)</f>
        <v>1</v>
      </c>
      <c r="R405" s="17">
        <f t="shared" si="3"/>
        <v>0</v>
      </c>
    </row>
    <row r="406">
      <c r="A406" s="7">
        <v>43994.69350111111</v>
      </c>
      <c r="B406" s="8" t="s">
        <v>18</v>
      </c>
      <c r="C406" s="9">
        <v>1401.0</v>
      </c>
      <c r="D406" s="8" t="s">
        <v>1502</v>
      </c>
      <c r="E406" s="18" t="s">
        <v>1496</v>
      </c>
      <c r="F406" s="8" t="s">
        <v>1480</v>
      </c>
      <c r="G406" s="9">
        <v>60636.0</v>
      </c>
      <c r="H406" s="10" t="s">
        <v>1173</v>
      </c>
      <c r="I406" s="10" t="s">
        <v>39</v>
      </c>
      <c r="J406" s="11">
        <v>0.0</v>
      </c>
      <c r="K406" s="10" t="s">
        <v>25</v>
      </c>
      <c r="L406" s="25">
        <v>39986.0</v>
      </c>
      <c r="M406" s="28" t="s">
        <v>1503</v>
      </c>
      <c r="N406" s="12" t="s">
        <v>1504</v>
      </c>
      <c r="O406" s="15">
        <f t="shared" si="1"/>
        <v>2009</v>
      </c>
      <c r="P406" s="16" t="str">
        <f t="shared" si="2"/>
        <v>USD</v>
      </c>
      <c r="Q406" s="15">
        <f>IFERROR(__xludf.DUMMYFUNCTION("IFNA(INDEX(GOOGLEFINANCE(""Currency:USD""&amp;$P406,""price"",DATE(YEAR($L406),MONTH($L406),DAY($L406))),2,2),LOOKUP(P406,CurrencyCodes,UnitsPerUSD))"),1.0)</f>
        <v>1</v>
      </c>
      <c r="R406" s="17">
        <f t="shared" si="3"/>
        <v>0</v>
      </c>
    </row>
    <row r="407">
      <c r="A407" s="7">
        <v>43988.920388425926</v>
      </c>
      <c r="B407" s="18" t="s">
        <v>18</v>
      </c>
      <c r="C407" s="19">
        <v>4101.0</v>
      </c>
      <c r="D407" s="18" t="s">
        <v>1505</v>
      </c>
      <c r="E407" s="18" t="s">
        <v>1496</v>
      </c>
      <c r="F407" s="18" t="s">
        <v>1480</v>
      </c>
      <c r="G407" s="19">
        <v>60623.0</v>
      </c>
      <c r="H407" s="21" t="s">
        <v>1173</v>
      </c>
      <c r="I407" s="21" t="s">
        <v>39</v>
      </c>
      <c r="J407" s="11">
        <v>310000.0</v>
      </c>
      <c r="K407" s="21" t="s">
        <v>25</v>
      </c>
      <c r="L407" s="25">
        <v>40515.0</v>
      </c>
      <c r="M407" s="24" t="s">
        <v>1506</v>
      </c>
      <c r="N407" s="27" t="s">
        <v>1507</v>
      </c>
      <c r="O407" s="15">
        <f t="shared" si="1"/>
        <v>2010</v>
      </c>
      <c r="P407" s="16" t="str">
        <f t="shared" si="2"/>
        <v>USD</v>
      </c>
      <c r="Q407" s="15">
        <f>IFERROR(__xludf.DUMMYFUNCTION("IFNA(INDEX(GOOGLEFINANCE(""Currency:USD""&amp;$P407,""price"",DATE(YEAR($L407),MONTH($L407),DAY($L407))),2,2),LOOKUP(P407,CurrencyCodes,UnitsPerUSD))"),1.0)</f>
        <v>1</v>
      </c>
      <c r="R407" s="17">
        <f t="shared" si="3"/>
        <v>310000</v>
      </c>
    </row>
    <row r="408">
      <c r="A408" s="7">
        <v>43988.98436170139</v>
      </c>
      <c r="B408" s="18" t="s">
        <v>18</v>
      </c>
      <c r="C408" s="19">
        <v>1515.0</v>
      </c>
      <c r="D408" s="18" t="s">
        <v>1508</v>
      </c>
      <c r="E408" s="18" t="s">
        <v>1496</v>
      </c>
      <c r="F408" s="18" t="s">
        <v>1480</v>
      </c>
      <c r="G408" s="19">
        <v>60657.0</v>
      </c>
      <c r="H408" s="21" t="s">
        <v>1173</v>
      </c>
      <c r="I408" s="21" t="s">
        <v>39</v>
      </c>
      <c r="J408" s="11">
        <v>1211000.0</v>
      </c>
      <c r="K408" s="21" t="s">
        <v>25</v>
      </c>
      <c r="L408" s="25">
        <v>40484.0</v>
      </c>
      <c r="M408" s="31" t="s">
        <v>1509</v>
      </c>
      <c r="N408" s="10"/>
      <c r="O408" s="15">
        <f t="shared" si="1"/>
        <v>2010</v>
      </c>
      <c r="P408" s="16" t="str">
        <f t="shared" si="2"/>
        <v>USD</v>
      </c>
      <c r="Q408" s="15">
        <f>IFERROR(__xludf.DUMMYFUNCTION("IFNA(INDEX(GOOGLEFINANCE(""Currency:USD""&amp;$P408,""price"",DATE(YEAR($L408),MONTH($L408),DAY($L408))),2,2),LOOKUP(P408,CurrencyCodes,UnitsPerUSD))"),1.0)</f>
        <v>1</v>
      </c>
      <c r="R408" s="17">
        <f t="shared" si="3"/>
        <v>1211000</v>
      </c>
    </row>
    <row r="409">
      <c r="A409" s="7">
        <v>44000.19411355324</v>
      </c>
      <c r="B409" s="18" t="s">
        <v>18</v>
      </c>
      <c r="C409" s="19">
        <v>906.0</v>
      </c>
      <c r="D409" s="18" t="s">
        <v>1510</v>
      </c>
      <c r="E409" s="18" t="s">
        <v>1511</v>
      </c>
      <c r="F409" s="18" t="s">
        <v>1480</v>
      </c>
      <c r="G409" s="19">
        <v>62052.0</v>
      </c>
      <c r="H409" s="21" t="s">
        <v>1173</v>
      </c>
      <c r="I409" s="21" t="s">
        <v>39</v>
      </c>
      <c r="J409" s="11">
        <v>77500.0</v>
      </c>
      <c r="K409" s="21" t="s">
        <v>25</v>
      </c>
      <c r="L409" s="25">
        <v>41523.0</v>
      </c>
      <c r="M409" s="24" t="s">
        <v>1512</v>
      </c>
      <c r="N409" s="21" t="s">
        <v>1513</v>
      </c>
      <c r="O409" s="15">
        <f t="shared" si="1"/>
        <v>2013</v>
      </c>
      <c r="P409" s="16" t="str">
        <f t="shared" si="2"/>
        <v>USD</v>
      </c>
      <c r="Q409" s="15">
        <f>IFERROR(__xludf.DUMMYFUNCTION("IFNA(INDEX(GOOGLEFINANCE(""Currency:USD""&amp;$P409,""price"",DATE(YEAR($L409),MONTH($L409),DAY($L409))),2,2),LOOKUP(P409,CurrencyCodes,UnitsPerUSD))"),1.0)</f>
        <v>1</v>
      </c>
      <c r="R409" s="17">
        <f t="shared" si="3"/>
        <v>77500</v>
      </c>
    </row>
    <row r="410">
      <c r="A410" s="7">
        <v>44006.282443460645</v>
      </c>
      <c r="B410" s="18" t="s">
        <v>18</v>
      </c>
      <c r="C410" s="19">
        <v>809.0</v>
      </c>
      <c r="D410" s="18" t="s">
        <v>1514</v>
      </c>
      <c r="E410" s="18" t="s">
        <v>1515</v>
      </c>
      <c r="F410" s="18" t="s">
        <v>1480</v>
      </c>
      <c r="G410" s="19">
        <v>61448.0</v>
      </c>
      <c r="H410" s="21" t="s">
        <v>1173</v>
      </c>
      <c r="I410" s="21" t="s">
        <v>39</v>
      </c>
      <c r="J410" s="11">
        <v>80000.0</v>
      </c>
      <c r="K410" s="21" t="s">
        <v>25</v>
      </c>
      <c r="L410" s="25">
        <v>39388.0</v>
      </c>
      <c r="M410" s="24" t="s">
        <v>1516</v>
      </c>
      <c r="N410" s="21" t="s">
        <v>1517</v>
      </c>
      <c r="O410" s="15">
        <f t="shared" si="1"/>
        <v>2007</v>
      </c>
      <c r="P410" s="16" t="str">
        <f t="shared" si="2"/>
        <v>USD</v>
      </c>
      <c r="Q410" s="15">
        <f>IFERROR(__xludf.DUMMYFUNCTION("IFNA(INDEX(GOOGLEFINANCE(""Currency:USD""&amp;$P410,""price"",DATE(YEAR($L410),MONTH($L410),DAY($L410))),2,2),LOOKUP(P410,CurrencyCodes,UnitsPerUSD))"),1.0)</f>
        <v>1</v>
      </c>
      <c r="R410" s="17">
        <f t="shared" si="3"/>
        <v>80000</v>
      </c>
    </row>
    <row r="411">
      <c r="A411" s="7">
        <v>44000.18808752314</v>
      </c>
      <c r="B411" s="18" t="s">
        <v>18</v>
      </c>
      <c r="C411" s="19">
        <v>117.0</v>
      </c>
      <c r="D411" s="18" t="s">
        <v>1518</v>
      </c>
      <c r="E411" s="18" t="s">
        <v>1519</v>
      </c>
      <c r="F411" s="18" t="s">
        <v>1480</v>
      </c>
      <c r="G411" s="19">
        <v>60426.0</v>
      </c>
      <c r="H411" s="21" t="s">
        <v>1173</v>
      </c>
      <c r="I411" s="21" t="s">
        <v>39</v>
      </c>
      <c r="J411" s="11">
        <v>175000.0</v>
      </c>
      <c r="K411" s="21" t="s">
        <v>25</v>
      </c>
      <c r="L411" s="25">
        <v>42655.0</v>
      </c>
      <c r="M411" s="24" t="s">
        <v>1520</v>
      </c>
      <c r="N411" s="12" t="s">
        <v>1521</v>
      </c>
      <c r="O411" s="15">
        <f t="shared" si="1"/>
        <v>2016</v>
      </c>
      <c r="P411" s="16" t="str">
        <f t="shared" si="2"/>
        <v>USD</v>
      </c>
      <c r="Q411" s="15">
        <f>IFERROR(__xludf.DUMMYFUNCTION("IFNA(INDEX(GOOGLEFINANCE(""Currency:USD""&amp;$P411,""price"",DATE(YEAR($L411),MONTH($L411),DAY($L411))),2,2),LOOKUP(P411,CurrencyCodes,UnitsPerUSD))"),1.0)</f>
        <v>1</v>
      </c>
      <c r="R411" s="17">
        <f t="shared" si="3"/>
        <v>175000</v>
      </c>
    </row>
    <row r="412">
      <c r="A412" s="7">
        <v>44000.20592832176</v>
      </c>
      <c r="B412" s="18" t="s">
        <v>18</v>
      </c>
      <c r="C412" s="19">
        <v>3322.0</v>
      </c>
      <c r="D412" s="18" t="s">
        <v>1522</v>
      </c>
      <c r="E412" s="18" t="s">
        <v>1523</v>
      </c>
      <c r="F412" s="18" t="s">
        <v>1480</v>
      </c>
      <c r="G412" s="19">
        <v>61938.0</v>
      </c>
      <c r="H412" s="21" t="s">
        <v>1173</v>
      </c>
      <c r="I412" s="21" t="s">
        <v>39</v>
      </c>
      <c r="J412" s="11">
        <v>75000.0</v>
      </c>
      <c r="K412" s="21" t="s">
        <v>25</v>
      </c>
      <c r="L412" s="25">
        <v>43566.0</v>
      </c>
      <c r="M412" s="24" t="s">
        <v>1524</v>
      </c>
      <c r="N412" s="12" t="s">
        <v>1525</v>
      </c>
      <c r="O412" s="15">
        <f t="shared" si="1"/>
        <v>2019</v>
      </c>
      <c r="P412" s="16" t="str">
        <f t="shared" si="2"/>
        <v>USD</v>
      </c>
      <c r="Q412" s="15">
        <f>IFERROR(__xludf.DUMMYFUNCTION("IFNA(INDEX(GOOGLEFINANCE(""Currency:USD""&amp;$P412,""price"",DATE(YEAR($L412),MONTH($L412),DAY($L412))),2,2),LOOKUP(P412,CurrencyCodes,UnitsPerUSD))"),1.0)</f>
        <v>1</v>
      </c>
      <c r="R412" s="17">
        <f t="shared" si="3"/>
        <v>75000</v>
      </c>
    </row>
    <row r="413">
      <c r="A413" s="7">
        <v>43912.54402813657</v>
      </c>
      <c r="B413" s="18" t="s">
        <v>18</v>
      </c>
      <c r="C413" s="9">
        <v>192.0</v>
      </c>
      <c r="D413" s="18" t="s">
        <v>1526</v>
      </c>
      <c r="E413" s="18" t="s">
        <v>1527</v>
      </c>
      <c r="F413" s="8" t="s">
        <v>1480</v>
      </c>
      <c r="G413" s="9">
        <v>61342.0</v>
      </c>
      <c r="H413" s="21" t="s">
        <v>1173</v>
      </c>
      <c r="I413" s="21" t="s">
        <v>39</v>
      </c>
      <c r="J413" s="11">
        <v>117700.0</v>
      </c>
      <c r="K413" s="21" t="s">
        <v>25</v>
      </c>
      <c r="L413" s="25">
        <v>43700.0</v>
      </c>
      <c r="M413" s="31" t="s">
        <v>1528</v>
      </c>
      <c r="N413" s="21"/>
      <c r="O413" s="15">
        <f t="shared" si="1"/>
        <v>2019</v>
      </c>
      <c r="P413" s="16" t="str">
        <f t="shared" si="2"/>
        <v>USD</v>
      </c>
      <c r="Q413" s="15">
        <f>IFERROR(__xludf.DUMMYFUNCTION("IFNA(INDEX(GOOGLEFINANCE(""Currency:USD""&amp;$P413,""price"",DATE(YEAR($L413),MONTH($L413),DAY($L413))),2,2),LOOKUP(P413,CurrencyCodes,UnitsPerUSD))"),1.0)</f>
        <v>1</v>
      </c>
      <c r="R413" s="17">
        <f t="shared" si="3"/>
        <v>117700</v>
      </c>
    </row>
    <row r="414">
      <c r="A414" s="7">
        <v>43913.810006377316</v>
      </c>
      <c r="B414" s="18" t="s">
        <v>18</v>
      </c>
      <c r="C414" s="9">
        <v>7002.0</v>
      </c>
      <c r="D414" s="18" t="s">
        <v>1529</v>
      </c>
      <c r="E414" s="18" t="s">
        <v>1530</v>
      </c>
      <c r="F414" s="8" t="s">
        <v>1480</v>
      </c>
      <c r="G414" s="19">
        <v>61265.0</v>
      </c>
      <c r="H414" s="21" t="s">
        <v>1173</v>
      </c>
      <c r="I414" s="21" t="s">
        <v>39</v>
      </c>
      <c r="J414" s="11">
        <v>235000.0</v>
      </c>
      <c r="K414" s="21" t="s">
        <v>25</v>
      </c>
      <c r="L414" s="25">
        <v>43678.0</v>
      </c>
      <c r="M414" s="24" t="s">
        <v>1531</v>
      </c>
      <c r="N414" s="21" t="s">
        <v>1175</v>
      </c>
      <c r="O414" s="15">
        <f t="shared" si="1"/>
        <v>2019</v>
      </c>
      <c r="P414" s="16" t="str">
        <f t="shared" si="2"/>
        <v>USD</v>
      </c>
      <c r="Q414" s="15">
        <f>IFERROR(__xludf.DUMMYFUNCTION("IFNA(INDEX(GOOGLEFINANCE(""Currency:USD""&amp;$P414,""price"",DATE(YEAR($L414),MONTH($L414),DAY($L414))),2,2),LOOKUP(P414,CurrencyCodes,UnitsPerUSD))"),1.0)</f>
        <v>1</v>
      </c>
      <c r="R414" s="17">
        <f t="shared" si="3"/>
        <v>235000</v>
      </c>
    </row>
    <row r="415">
      <c r="A415" s="7">
        <v>44000.30417325231</v>
      </c>
      <c r="B415" s="18" t="s">
        <v>18</v>
      </c>
      <c r="C415" s="9">
        <v>2600.0</v>
      </c>
      <c r="D415" s="18" t="s">
        <v>1532</v>
      </c>
      <c r="E415" s="18" t="s">
        <v>1533</v>
      </c>
      <c r="F415" s="8" t="s">
        <v>1480</v>
      </c>
      <c r="G415" s="19">
        <v>61102.0</v>
      </c>
      <c r="H415" s="21" t="s">
        <v>1173</v>
      </c>
      <c r="I415" s="21" t="s">
        <v>39</v>
      </c>
      <c r="J415" s="11">
        <v>39000.0</v>
      </c>
      <c r="K415" s="21" t="s">
        <v>25</v>
      </c>
      <c r="L415" s="25">
        <v>41437.0</v>
      </c>
      <c r="M415" s="24" t="s">
        <v>1534</v>
      </c>
      <c r="N415" s="10" t="s">
        <v>1535</v>
      </c>
      <c r="O415" s="15">
        <f t="shared" si="1"/>
        <v>2013</v>
      </c>
      <c r="P415" s="16" t="str">
        <f t="shared" si="2"/>
        <v>USD</v>
      </c>
      <c r="Q415" s="15">
        <f>IFERROR(__xludf.DUMMYFUNCTION("IFNA(INDEX(GOOGLEFINANCE(""Currency:USD""&amp;$P415,""price"",DATE(YEAR($L415),MONTH($L415),DAY($L415))),2,2),LOOKUP(P415,CurrencyCodes,UnitsPerUSD))"),1.0)</f>
        <v>1</v>
      </c>
      <c r="R415" s="17">
        <f t="shared" si="3"/>
        <v>39000</v>
      </c>
    </row>
    <row r="416">
      <c r="A416" s="7">
        <v>44000.34799123842</v>
      </c>
      <c r="B416" s="18" t="s">
        <v>18</v>
      </c>
      <c r="C416" s="9">
        <v>615.0</v>
      </c>
      <c r="D416" s="18" t="s">
        <v>1536</v>
      </c>
      <c r="E416" s="18" t="s">
        <v>1533</v>
      </c>
      <c r="F416" s="8" t="s">
        <v>1480</v>
      </c>
      <c r="G416" s="19">
        <v>61104.0</v>
      </c>
      <c r="H416" s="21" t="s">
        <v>1173</v>
      </c>
      <c r="I416" s="21" t="s">
        <v>39</v>
      </c>
      <c r="J416" s="11">
        <v>73000.0</v>
      </c>
      <c r="K416" s="21" t="s">
        <v>25</v>
      </c>
      <c r="L416" s="25">
        <v>41431.0</v>
      </c>
      <c r="M416" s="24" t="s">
        <v>1537</v>
      </c>
      <c r="N416" s="27" t="s">
        <v>1538</v>
      </c>
      <c r="O416" s="15">
        <f t="shared" si="1"/>
        <v>2013</v>
      </c>
      <c r="P416" s="16" t="str">
        <f t="shared" si="2"/>
        <v>USD</v>
      </c>
      <c r="Q416" s="15">
        <f>IFERROR(__xludf.DUMMYFUNCTION("IFNA(INDEX(GOOGLEFINANCE(""Currency:USD""&amp;$P416,""price"",DATE(YEAR($L416),MONTH($L416),DAY($L416))),2,2),LOOKUP(P416,CurrencyCodes,UnitsPerUSD))"),1.0)</f>
        <v>1</v>
      </c>
      <c r="R416" s="17">
        <f t="shared" si="3"/>
        <v>73000</v>
      </c>
    </row>
    <row r="417">
      <c r="A417" s="7">
        <v>44000.35658630787</v>
      </c>
      <c r="B417" s="18" t="s">
        <v>18</v>
      </c>
      <c r="C417" s="9">
        <v>1121.0</v>
      </c>
      <c r="D417" s="8" t="s">
        <v>1539</v>
      </c>
      <c r="E417" s="18" t="s">
        <v>1540</v>
      </c>
      <c r="F417" s="8" t="s">
        <v>1480</v>
      </c>
      <c r="G417" s="9">
        <v>62704.0</v>
      </c>
      <c r="H417" s="21" t="s">
        <v>1173</v>
      </c>
      <c r="I417" s="21" t="s">
        <v>39</v>
      </c>
      <c r="J417" s="11">
        <v>250000.0</v>
      </c>
      <c r="K417" s="21" t="s">
        <v>25</v>
      </c>
      <c r="L417" s="25">
        <v>39238.0</v>
      </c>
      <c r="M417" s="28" t="s">
        <v>1541</v>
      </c>
      <c r="N417" s="27" t="s">
        <v>1542</v>
      </c>
      <c r="O417" s="15">
        <f t="shared" si="1"/>
        <v>2007</v>
      </c>
      <c r="P417" s="16" t="str">
        <f t="shared" si="2"/>
        <v>USD</v>
      </c>
      <c r="Q417" s="15">
        <f>IFERROR(__xludf.DUMMYFUNCTION("IFNA(INDEX(GOOGLEFINANCE(""Currency:USD""&amp;$P417,""price"",DATE(YEAR($L417),MONTH($L417),DAY($L417))),2,2),LOOKUP(P417,CurrencyCodes,UnitsPerUSD))"),1.0)</f>
        <v>1</v>
      </c>
      <c r="R417" s="17">
        <f t="shared" si="3"/>
        <v>250000</v>
      </c>
    </row>
    <row r="418">
      <c r="A418" s="7">
        <v>44000.35184974537</v>
      </c>
      <c r="B418" s="18" t="s">
        <v>18</v>
      </c>
      <c r="C418" s="9">
        <v>4150.0</v>
      </c>
      <c r="D418" s="8" t="s">
        <v>1543</v>
      </c>
      <c r="E418" s="18" t="s">
        <v>1540</v>
      </c>
      <c r="F418" s="8" t="s">
        <v>1480</v>
      </c>
      <c r="G418" s="9">
        <v>62702.0</v>
      </c>
      <c r="H418" s="21" t="s">
        <v>1173</v>
      </c>
      <c r="I418" s="21" t="s">
        <v>39</v>
      </c>
      <c r="J418" s="11">
        <v>160000.0</v>
      </c>
      <c r="K418" s="21" t="s">
        <v>25</v>
      </c>
      <c r="L418" s="25">
        <v>43510.0</v>
      </c>
      <c r="M418" s="28" t="s">
        <v>1544</v>
      </c>
      <c r="N418" s="27" t="s">
        <v>1545</v>
      </c>
      <c r="O418" s="15">
        <f t="shared" si="1"/>
        <v>2019</v>
      </c>
      <c r="P418" s="16" t="str">
        <f t="shared" si="2"/>
        <v>USD</v>
      </c>
      <c r="Q418" s="15">
        <f>IFERROR(__xludf.DUMMYFUNCTION("IFNA(INDEX(GOOGLEFINANCE(""Currency:USD""&amp;$P418,""price"",DATE(YEAR($L418),MONTH($L418),DAY($L418))),2,2),LOOKUP(P418,CurrencyCodes,UnitsPerUSD))"),1.0)</f>
        <v>1</v>
      </c>
      <c r="R418" s="17">
        <f t="shared" si="3"/>
        <v>160000</v>
      </c>
    </row>
    <row r="419">
      <c r="A419" s="7">
        <v>44001.354608124995</v>
      </c>
      <c r="B419" s="18" t="s">
        <v>18</v>
      </c>
      <c r="C419" s="19">
        <v>425.0</v>
      </c>
      <c r="D419" s="18" t="s">
        <v>1546</v>
      </c>
      <c r="E419" s="18" t="s">
        <v>1547</v>
      </c>
      <c r="F419" s="18" t="s">
        <v>1480</v>
      </c>
      <c r="G419" s="19">
        <v>60970.0</v>
      </c>
      <c r="H419" s="21" t="s">
        <v>1173</v>
      </c>
      <c r="I419" s="21" t="s">
        <v>39</v>
      </c>
      <c r="J419" s="11">
        <v>58000.0</v>
      </c>
      <c r="K419" s="21" t="s">
        <v>25</v>
      </c>
      <c r="L419" s="25">
        <v>43225.0</v>
      </c>
      <c r="M419" s="28" t="s">
        <v>1548</v>
      </c>
      <c r="N419" s="27" t="s">
        <v>1549</v>
      </c>
      <c r="O419" s="15">
        <f t="shared" si="1"/>
        <v>2018</v>
      </c>
      <c r="P419" s="16" t="str">
        <f t="shared" si="2"/>
        <v>USD</v>
      </c>
      <c r="Q419" s="15">
        <f>IFERROR(__xludf.DUMMYFUNCTION("IFNA(INDEX(GOOGLEFINANCE(""Currency:USD""&amp;$P419,""price"",DATE(YEAR($L419),MONTH($L419),DAY($L419))),2,2),LOOKUP(P419,CurrencyCodes,UnitsPerUSD))"),1.0)</f>
        <v>1</v>
      </c>
      <c r="R419" s="17">
        <f t="shared" si="3"/>
        <v>58000</v>
      </c>
    </row>
    <row r="420">
      <c r="A420" s="7">
        <v>44000.36975899305</v>
      </c>
      <c r="B420" s="18" t="s">
        <v>18</v>
      </c>
      <c r="C420" s="9">
        <v>224.0</v>
      </c>
      <c r="D420" s="8" t="s">
        <v>1550</v>
      </c>
      <c r="E420" s="18" t="s">
        <v>1551</v>
      </c>
      <c r="F420" s="8" t="s">
        <v>1480</v>
      </c>
      <c r="G420" s="9">
        <v>62095.0</v>
      </c>
      <c r="H420" s="21" t="s">
        <v>1173</v>
      </c>
      <c r="I420" s="21" t="s">
        <v>39</v>
      </c>
      <c r="J420" s="11">
        <v>0.0</v>
      </c>
      <c r="K420" s="27" t="s">
        <v>25</v>
      </c>
      <c r="L420" s="22"/>
      <c r="M420" s="28" t="s">
        <v>1552</v>
      </c>
      <c r="N420" s="27" t="s">
        <v>1553</v>
      </c>
      <c r="O420" s="15" t="str">
        <f t="shared" si="1"/>
        <v>Unknown</v>
      </c>
      <c r="P420" s="16" t="str">
        <f t="shared" si="2"/>
        <v>USD</v>
      </c>
      <c r="Q420" s="15">
        <f>IFERROR(__xludf.DUMMYFUNCTION("IFNA(INDEX(GOOGLEFINANCE(""Currency:USD""&amp;$P420,""price"",DATE(YEAR($L420),MONTH($L420),DAY($L420))),2,2),LOOKUP(P420,CurrencyCodes,UnitsPerUSD))"),1.0)</f>
        <v>1</v>
      </c>
      <c r="R420" s="17">
        <f t="shared" si="3"/>
        <v>0</v>
      </c>
    </row>
    <row r="421">
      <c r="A421" s="7">
        <v>43898.568871932875</v>
      </c>
      <c r="B421" s="18" t="s">
        <v>18</v>
      </c>
      <c r="C421" s="9">
        <v>1020.0</v>
      </c>
      <c r="D421" s="18" t="s">
        <v>1554</v>
      </c>
      <c r="E421" s="18" t="s">
        <v>1555</v>
      </c>
      <c r="F421" s="8" t="s">
        <v>1556</v>
      </c>
      <c r="G421" s="9"/>
      <c r="H421" s="21" t="s">
        <v>1173</v>
      </c>
      <c r="I421" s="21" t="s">
        <v>24</v>
      </c>
      <c r="J421" s="11">
        <v>145000.0</v>
      </c>
      <c r="K421" s="27" t="s">
        <v>25</v>
      </c>
      <c r="L421" s="22"/>
      <c r="M421" s="24" t="s">
        <v>1557</v>
      </c>
      <c r="N421" s="21" t="s">
        <v>1558</v>
      </c>
      <c r="O421" s="15" t="str">
        <f t="shared" si="1"/>
        <v>Unknown</v>
      </c>
      <c r="P421" s="16" t="str">
        <f t="shared" si="2"/>
        <v>USD</v>
      </c>
      <c r="Q421" s="15">
        <f>IFERROR(__xludf.DUMMYFUNCTION("IFNA(INDEX(GOOGLEFINANCE(""Currency:USD""&amp;$P421,""price"",DATE(YEAR($L421),MONTH($L421),DAY($L421))),2,2),LOOKUP(P421,CurrencyCodes,UnitsPerUSD))"),1.0)</f>
        <v>1</v>
      </c>
      <c r="R421" s="17">
        <f t="shared" si="3"/>
        <v>145000</v>
      </c>
    </row>
    <row r="422">
      <c r="A422" s="7">
        <v>44001.35184253472</v>
      </c>
      <c r="B422" s="18" t="s">
        <v>18</v>
      </c>
      <c r="C422" s="19">
        <v>500.0</v>
      </c>
      <c r="D422" s="18" t="s">
        <v>1559</v>
      </c>
      <c r="E422" s="18" t="s">
        <v>1560</v>
      </c>
      <c r="F422" s="18" t="s">
        <v>1556</v>
      </c>
      <c r="G422" s="19">
        <v>46725.0</v>
      </c>
      <c r="H422" s="21" t="s">
        <v>1173</v>
      </c>
      <c r="I422" s="21" t="s">
        <v>39</v>
      </c>
      <c r="J422" s="11">
        <v>131500.0</v>
      </c>
      <c r="K422" s="21" t="s">
        <v>25</v>
      </c>
      <c r="L422" s="25">
        <v>43707.0</v>
      </c>
      <c r="M422" s="31" t="s">
        <v>1561</v>
      </c>
      <c r="N422" s="21"/>
      <c r="O422" s="15">
        <f t="shared" si="1"/>
        <v>2019</v>
      </c>
      <c r="P422" s="16" t="str">
        <f t="shared" si="2"/>
        <v>USD</v>
      </c>
      <c r="Q422" s="15">
        <f>IFERROR(__xludf.DUMMYFUNCTION("IFNA(INDEX(GOOGLEFINANCE(""Currency:USD""&amp;$P422,""price"",DATE(YEAR($L422),MONTH($L422),DAY($L422))),2,2),LOOKUP(P422,CurrencyCodes,UnitsPerUSD))"),1.0)</f>
        <v>1</v>
      </c>
      <c r="R422" s="17">
        <f t="shared" si="3"/>
        <v>131500</v>
      </c>
    </row>
    <row r="423">
      <c r="A423" s="7">
        <v>43906.88064665509</v>
      </c>
      <c r="B423" s="18" t="s">
        <v>18</v>
      </c>
      <c r="C423" s="19">
        <v>6811.0</v>
      </c>
      <c r="D423" s="18" t="s">
        <v>1562</v>
      </c>
      <c r="E423" s="18" t="s">
        <v>1563</v>
      </c>
      <c r="F423" s="18" t="s">
        <v>1556</v>
      </c>
      <c r="G423" s="19">
        <v>46219.0</v>
      </c>
      <c r="H423" s="21" t="s">
        <v>1173</v>
      </c>
      <c r="I423" s="21" t="s">
        <v>39</v>
      </c>
      <c r="J423" s="11">
        <v>239900.0</v>
      </c>
      <c r="K423" s="21" t="s">
        <v>25</v>
      </c>
      <c r="L423" s="25">
        <v>41141.0</v>
      </c>
      <c r="M423" s="24" t="s">
        <v>1564</v>
      </c>
      <c r="N423" s="21" t="s">
        <v>1565</v>
      </c>
      <c r="O423" s="15">
        <f t="shared" si="1"/>
        <v>2012</v>
      </c>
      <c r="P423" s="16" t="str">
        <f t="shared" si="2"/>
        <v>USD</v>
      </c>
      <c r="Q423" s="15">
        <f>IFERROR(__xludf.DUMMYFUNCTION("IFNA(INDEX(GOOGLEFINANCE(""Currency:USD""&amp;$P423,""price"",DATE(YEAR($L423),MONTH($L423),DAY($L423))),2,2),LOOKUP(P423,CurrencyCodes,UnitsPerUSD))"),1.0)</f>
        <v>1</v>
      </c>
      <c r="R423" s="17">
        <f t="shared" si="3"/>
        <v>239900</v>
      </c>
    </row>
    <row r="424">
      <c r="A424" s="7">
        <v>43906.88839511574</v>
      </c>
      <c r="B424" s="18" t="s">
        <v>189</v>
      </c>
      <c r="C424" s="9">
        <v>1201.0</v>
      </c>
      <c r="D424" s="18" t="s">
        <v>1566</v>
      </c>
      <c r="E424" s="18" t="s">
        <v>1563</v>
      </c>
      <c r="F424" s="8" t="s">
        <v>1556</v>
      </c>
      <c r="G424" s="9">
        <v>46202.0</v>
      </c>
      <c r="H424" s="21" t="s">
        <v>1173</v>
      </c>
      <c r="I424" s="21" t="s">
        <v>39</v>
      </c>
      <c r="J424" s="11">
        <v>2700000.0</v>
      </c>
      <c r="K424" s="21" t="s">
        <v>25</v>
      </c>
      <c r="L424" s="25">
        <v>42583.0</v>
      </c>
      <c r="M424" s="24" t="s">
        <v>1567</v>
      </c>
      <c r="N424" s="21" t="s">
        <v>1568</v>
      </c>
      <c r="O424" s="15">
        <f t="shared" si="1"/>
        <v>2016</v>
      </c>
      <c r="P424" s="16" t="str">
        <f t="shared" si="2"/>
        <v>USD</v>
      </c>
      <c r="Q424" s="15">
        <f>IFERROR(__xludf.DUMMYFUNCTION("IFNA(INDEX(GOOGLEFINANCE(""Currency:USD""&amp;$P424,""price"",DATE(YEAR($L424),MONTH($L424),DAY($L424))),2,2),LOOKUP(P424,CurrencyCodes,UnitsPerUSD))"),1.0)</f>
        <v>1</v>
      </c>
      <c r="R424" s="17">
        <f t="shared" si="3"/>
        <v>2700000</v>
      </c>
    </row>
    <row r="425">
      <c r="A425" s="7">
        <v>43908.91096658565</v>
      </c>
      <c r="B425" s="18" t="s">
        <v>18</v>
      </c>
      <c r="C425" s="9">
        <v>4190.0</v>
      </c>
      <c r="D425" s="18" t="s">
        <v>1569</v>
      </c>
      <c r="E425" s="18" t="s">
        <v>1570</v>
      </c>
      <c r="F425" s="8" t="s">
        <v>1556</v>
      </c>
      <c r="G425" s="19">
        <v>46534.0</v>
      </c>
      <c r="H425" s="21" t="s">
        <v>1173</v>
      </c>
      <c r="I425" s="21" t="s">
        <v>39</v>
      </c>
      <c r="J425" s="11">
        <v>125000.0</v>
      </c>
      <c r="K425" s="21" t="s">
        <v>25</v>
      </c>
      <c r="L425" s="25">
        <v>43311.0</v>
      </c>
      <c r="M425" s="24" t="s">
        <v>1571</v>
      </c>
      <c r="N425" s="21" t="s">
        <v>1572</v>
      </c>
      <c r="O425" s="15">
        <f t="shared" si="1"/>
        <v>2018</v>
      </c>
      <c r="P425" s="16" t="str">
        <f t="shared" si="2"/>
        <v>USD</v>
      </c>
      <c r="Q425" s="15">
        <f>IFERROR(__xludf.DUMMYFUNCTION("IFNA(INDEX(GOOGLEFINANCE(""Currency:USD""&amp;$P425,""price"",DATE(YEAR($L425),MONTH($L425),DAY($L425))),2,2),LOOKUP(P425,CurrencyCodes,UnitsPerUSD))"),1.0)</f>
        <v>1</v>
      </c>
      <c r="R425" s="17">
        <f t="shared" si="3"/>
        <v>125000</v>
      </c>
    </row>
    <row r="426">
      <c r="A426" s="7">
        <v>43918.96873995371</v>
      </c>
      <c r="B426" s="18" t="s">
        <v>18</v>
      </c>
      <c r="C426" s="9">
        <v>420.0</v>
      </c>
      <c r="D426" s="18" t="s">
        <v>1573</v>
      </c>
      <c r="E426" s="18" t="s">
        <v>1574</v>
      </c>
      <c r="F426" s="8" t="s">
        <v>1556</v>
      </c>
      <c r="G426" s="9">
        <v>46176.0</v>
      </c>
      <c r="H426" s="21" t="s">
        <v>1173</v>
      </c>
      <c r="I426" s="21" t="s">
        <v>39</v>
      </c>
      <c r="J426" s="11">
        <v>499900.0</v>
      </c>
      <c r="K426" s="21" t="s">
        <v>25</v>
      </c>
      <c r="L426" s="25">
        <v>43190.0</v>
      </c>
      <c r="M426" s="24" t="s">
        <v>1575</v>
      </c>
      <c r="N426" s="27" t="s">
        <v>1576</v>
      </c>
      <c r="O426" s="15">
        <f t="shared" si="1"/>
        <v>2018</v>
      </c>
      <c r="P426" s="16" t="str">
        <f t="shared" si="2"/>
        <v>USD</v>
      </c>
      <c r="Q426" s="15">
        <f>IFERROR(__xludf.DUMMYFUNCTION("IFNA(INDEX(GOOGLEFINANCE(""Currency:USD""&amp;$P426,""price"",DATE(YEAR($L426),MONTH($L426),DAY($L426))),2,2),LOOKUP(P426,CurrencyCodes,UnitsPerUSD))"),1.0)</f>
        <v>1</v>
      </c>
      <c r="R426" s="17">
        <f t="shared" si="3"/>
        <v>499900</v>
      </c>
    </row>
    <row r="427">
      <c r="A427" s="7">
        <v>43918.5320775</v>
      </c>
      <c r="B427" s="18" t="s">
        <v>18</v>
      </c>
      <c r="C427" s="9">
        <v>601.0</v>
      </c>
      <c r="D427" s="8" t="s">
        <v>1577</v>
      </c>
      <c r="E427" s="18" t="s">
        <v>1578</v>
      </c>
      <c r="F427" s="18" t="s">
        <v>1579</v>
      </c>
      <c r="G427" s="9">
        <v>67730.0</v>
      </c>
      <c r="H427" s="21" t="s">
        <v>1173</v>
      </c>
      <c r="I427" s="21" t="s">
        <v>39</v>
      </c>
      <c r="J427" s="11">
        <v>68000.0</v>
      </c>
      <c r="K427" s="27" t="s">
        <v>25</v>
      </c>
      <c r="L427" s="22"/>
      <c r="M427" s="14" t="s">
        <v>1580</v>
      </c>
      <c r="N427" s="21"/>
      <c r="O427" s="15" t="str">
        <f t="shared" si="1"/>
        <v>Unknown</v>
      </c>
      <c r="P427" s="16" t="str">
        <f t="shared" si="2"/>
        <v>USD</v>
      </c>
      <c r="Q427" s="15">
        <f>IFERROR(__xludf.DUMMYFUNCTION("IFNA(INDEX(GOOGLEFINANCE(""Currency:USD""&amp;$P427,""price"",DATE(YEAR($L427),MONTH($L427),DAY($L427))),2,2),LOOKUP(P427,CurrencyCodes,UnitsPerUSD))"),1.0)</f>
        <v>1</v>
      </c>
      <c r="R427" s="17">
        <f t="shared" si="3"/>
        <v>68000</v>
      </c>
    </row>
    <row r="428">
      <c r="A428" s="7">
        <v>43904.722301828704</v>
      </c>
      <c r="B428" s="18" t="s">
        <v>18</v>
      </c>
      <c r="C428" s="9">
        <v>109.0</v>
      </c>
      <c r="D428" s="18" t="s">
        <v>1581</v>
      </c>
      <c r="E428" s="18" t="s">
        <v>1582</v>
      </c>
      <c r="F428" s="8" t="s">
        <v>1579</v>
      </c>
      <c r="G428" s="9">
        <v>67045.0</v>
      </c>
      <c r="H428" s="21" t="s">
        <v>1173</v>
      </c>
      <c r="I428" s="21" t="s">
        <v>39</v>
      </c>
      <c r="J428" s="11">
        <v>51830.0</v>
      </c>
      <c r="K428" s="21" t="s">
        <v>25</v>
      </c>
      <c r="L428" s="25">
        <v>42736.0</v>
      </c>
      <c r="M428" s="24" t="s">
        <v>1583</v>
      </c>
      <c r="N428" s="27" t="s">
        <v>1584</v>
      </c>
      <c r="O428" s="15">
        <f t="shared" si="1"/>
        <v>2017</v>
      </c>
      <c r="P428" s="16" t="str">
        <f t="shared" si="2"/>
        <v>USD</v>
      </c>
      <c r="Q428" s="15">
        <f>IFERROR(__xludf.DUMMYFUNCTION("IFNA(INDEX(GOOGLEFINANCE(""Currency:USD""&amp;$P428,""price"",DATE(YEAR($L428),MONTH($L428),DAY($L428))),2,2),LOOKUP(P428,CurrencyCodes,UnitsPerUSD))"),1.0)</f>
        <v>1</v>
      </c>
      <c r="R428" s="17">
        <f t="shared" si="3"/>
        <v>51830</v>
      </c>
    </row>
    <row r="429">
      <c r="A429" s="7">
        <v>43909.92385582176</v>
      </c>
      <c r="B429" s="18" t="s">
        <v>18</v>
      </c>
      <c r="C429" s="19">
        <v>922.0</v>
      </c>
      <c r="D429" s="18" t="s">
        <v>1585</v>
      </c>
      <c r="E429" s="18" t="s">
        <v>1586</v>
      </c>
      <c r="F429" s="18" t="s">
        <v>1579</v>
      </c>
      <c r="G429" s="19">
        <v>67550.0</v>
      </c>
      <c r="H429" s="21" t="s">
        <v>1173</v>
      </c>
      <c r="I429" s="21" t="s">
        <v>24</v>
      </c>
      <c r="J429" s="11">
        <v>20000.0</v>
      </c>
      <c r="K429" s="27" t="s">
        <v>25</v>
      </c>
      <c r="L429" s="22"/>
      <c r="M429" s="21"/>
      <c r="N429" s="21" t="s">
        <v>175</v>
      </c>
      <c r="O429" s="15" t="str">
        <f t="shared" si="1"/>
        <v>Unknown</v>
      </c>
      <c r="P429" s="16" t="str">
        <f t="shared" si="2"/>
        <v>USD</v>
      </c>
      <c r="Q429" s="15">
        <f>IFERROR(__xludf.DUMMYFUNCTION("IFNA(INDEX(GOOGLEFINANCE(""Currency:USD""&amp;$P429,""price"",DATE(YEAR($L429),MONTH($L429),DAY($L429))),2,2),LOOKUP(P429,CurrencyCodes,UnitsPerUSD))"),1.0)</f>
        <v>1</v>
      </c>
      <c r="R429" s="17">
        <f t="shared" si="3"/>
        <v>20000</v>
      </c>
    </row>
    <row r="430">
      <c r="A430" s="7">
        <v>43911.87898353009</v>
      </c>
      <c r="B430" s="8" t="s">
        <v>18</v>
      </c>
      <c r="C430" s="9">
        <v>3406.0</v>
      </c>
      <c r="D430" s="8" t="s">
        <v>1587</v>
      </c>
      <c r="E430" s="8" t="s">
        <v>1588</v>
      </c>
      <c r="F430" s="8" t="s">
        <v>1589</v>
      </c>
      <c r="G430" s="9">
        <v>40211.0</v>
      </c>
      <c r="H430" s="10" t="s">
        <v>1173</v>
      </c>
      <c r="I430" s="10" t="s">
        <v>39</v>
      </c>
      <c r="J430" s="11">
        <v>173859.0</v>
      </c>
      <c r="K430" s="10" t="s">
        <v>25</v>
      </c>
      <c r="L430" s="25">
        <v>43448.0</v>
      </c>
      <c r="M430" s="28" t="s">
        <v>1590</v>
      </c>
      <c r="N430" s="10" t="s">
        <v>1591</v>
      </c>
      <c r="O430" s="15">
        <f t="shared" si="1"/>
        <v>2018</v>
      </c>
      <c r="P430" s="16" t="str">
        <f t="shared" si="2"/>
        <v>USD</v>
      </c>
      <c r="Q430" s="15">
        <f>IFERROR(__xludf.DUMMYFUNCTION("IFNA(INDEX(GOOGLEFINANCE(""Currency:USD""&amp;$P430,""price"",DATE(YEAR($L430),MONTH($L430),DAY($L430))),2,2),LOOKUP(P430,CurrencyCodes,UnitsPerUSD))"),1.0)</f>
        <v>1</v>
      </c>
      <c r="R430" s="17">
        <f t="shared" si="3"/>
        <v>173859</v>
      </c>
    </row>
    <row r="431">
      <c r="A431" s="7">
        <v>43912.42867849537</v>
      </c>
      <c r="B431" s="18" t="s">
        <v>18</v>
      </c>
      <c r="C431" s="19">
        <v>21.0</v>
      </c>
      <c r="D431" s="18" t="s">
        <v>1592</v>
      </c>
      <c r="E431" s="18" t="s">
        <v>1593</v>
      </c>
      <c r="F431" s="8" t="s">
        <v>1589</v>
      </c>
      <c r="G431" s="19">
        <v>40962.0</v>
      </c>
      <c r="H431" s="21" t="s">
        <v>1173</v>
      </c>
      <c r="I431" s="21" t="s">
        <v>39</v>
      </c>
      <c r="J431" s="11">
        <v>155000.0</v>
      </c>
      <c r="K431" s="21" t="s">
        <v>25</v>
      </c>
      <c r="L431" s="25">
        <v>43192.0</v>
      </c>
      <c r="M431" s="21"/>
      <c r="N431" s="12" t="s">
        <v>1594</v>
      </c>
      <c r="O431" s="15">
        <f t="shared" si="1"/>
        <v>2018</v>
      </c>
      <c r="P431" s="16" t="str">
        <f t="shared" si="2"/>
        <v>USD</v>
      </c>
      <c r="Q431" s="15">
        <f>IFERROR(__xludf.DUMMYFUNCTION("IFNA(INDEX(GOOGLEFINANCE(""Currency:USD""&amp;$P431,""price"",DATE(YEAR($L431),MONTH($L431),DAY($L431))),2,2),LOOKUP(P431,CurrencyCodes,UnitsPerUSD))"),1.0)</f>
        <v>1</v>
      </c>
      <c r="R431" s="17">
        <f t="shared" si="3"/>
        <v>155000</v>
      </c>
    </row>
    <row r="432">
      <c r="A432" s="7">
        <v>43915.75796796296</v>
      </c>
      <c r="B432" s="18" t="s">
        <v>18</v>
      </c>
      <c r="C432" s="9">
        <v>660.0</v>
      </c>
      <c r="D432" s="18" t="s">
        <v>1595</v>
      </c>
      <c r="E432" s="18" t="s">
        <v>1596</v>
      </c>
      <c r="F432" s="8" t="s">
        <v>1589</v>
      </c>
      <c r="G432" s="19">
        <v>41164.0</v>
      </c>
      <c r="H432" s="21" t="s">
        <v>1173</v>
      </c>
      <c r="I432" s="21" t="s">
        <v>39</v>
      </c>
      <c r="J432" s="11">
        <v>50000.0</v>
      </c>
      <c r="K432" s="21" t="s">
        <v>25</v>
      </c>
      <c r="L432" s="25">
        <v>43164.0</v>
      </c>
      <c r="M432" s="31" t="s">
        <v>1597</v>
      </c>
      <c r="N432" s="21"/>
      <c r="O432" s="15">
        <f t="shared" si="1"/>
        <v>2018</v>
      </c>
      <c r="P432" s="16" t="str">
        <f t="shared" si="2"/>
        <v>USD</v>
      </c>
      <c r="Q432" s="15">
        <f>IFERROR(__xludf.DUMMYFUNCTION("IFNA(INDEX(GOOGLEFINANCE(""Currency:USD""&amp;$P432,""price"",DATE(YEAR($L432),MONTH($L432),DAY($L432))),2,2),LOOKUP(P432,CurrencyCodes,UnitsPerUSD))"),1.0)</f>
        <v>1</v>
      </c>
      <c r="R432" s="17">
        <f t="shared" si="3"/>
        <v>50000</v>
      </c>
    </row>
    <row r="433">
      <c r="A433" s="7">
        <v>43915.829051967594</v>
      </c>
      <c r="B433" s="18" t="s">
        <v>18</v>
      </c>
      <c r="C433" s="9">
        <v>2185.0</v>
      </c>
      <c r="D433" s="18" t="s">
        <v>1598</v>
      </c>
      <c r="E433" s="18" t="s">
        <v>1599</v>
      </c>
      <c r="F433" s="18" t="s">
        <v>1589</v>
      </c>
      <c r="G433" s="9">
        <v>40359.0</v>
      </c>
      <c r="H433" s="21" t="s">
        <v>1173</v>
      </c>
      <c r="I433" s="21" t="s">
        <v>39</v>
      </c>
      <c r="J433" s="11">
        <v>128000.0</v>
      </c>
      <c r="K433" s="21" t="s">
        <v>25</v>
      </c>
      <c r="L433" s="25">
        <v>43551.0</v>
      </c>
      <c r="M433" s="14" t="s">
        <v>1600</v>
      </c>
      <c r="N433" s="21"/>
      <c r="O433" s="15">
        <f t="shared" si="1"/>
        <v>2019</v>
      </c>
      <c r="P433" s="16" t="str">
        <f t="shared" si="2"/>
        <v>USD</v>
      </c>
      <c r="Q433" s="15">
        <f>IFERROR(__xludf.DUMMYFUNCTION("IFNA(INDEX(GOOGLEFINANCE(""Currency:USD""&amp;$P433,""price"",DATE(YEAR($L433),MONTH($L433),DAY($L433))),2,2),LOOKUP(P433,CurrencyCodes,UnitsPerUSD))"),1.0)</f>
        <v>1</v>
      </c>
      <c r="R433" s="17">
        <f t="shared" si="3"/>
        <v>128000</v>
      </c>
    </row>
    <row r="434">
      <c r="A434" s="7">
        <v>43918.55620020833</v>
      </c>
      <c r="B434" s="18" t="s">
        <v>18</v>
      </c>
      <c r="C434" s="19">
        <v>2101.0</v>
      </c>
      <c r="D434" s="18" t="s">
        <v>1601</v>
      </c>
      <c r="E434" s="18" t="s">
        <v>1235</v>
      </c>
      <c r="F434" s="18" t="s">
        <v>1589</v>
      </c>
      <c r="G434" s="19">
        <v>49095.0</v>
      </c>
      <c r="H434" s="21" t="s">
        <v>1173</v>
      </c>
      <c r="I434" s="21" t="s">
        <v>24</v>
      </c>
      <c r="J434" s="11">
        <v>525000.0</v>
      </c>
      <c r="K434" s="27" t="s">
        <v>25</v>
      </c>
      <c r="L434" s="22"/>
      <c r="M434" s="31" t="s">
        <v>1602</v>
      </c>
      <c r="N434" s="21"/>
      <c r="O434" s="15" t="str">
        <f t="shared" si="1"/>
        <v>Unknown</v>
      </c>
      <c r="P434" s="16" t="str">
        <f t="shared" si="2"/>
        <v>USD</v>
      </c>
      <c r="Q434" s="15">
        <f>IFERROR(__xludf.DUMMYFUNCTION("IFNA(INDEX(GOOGLEFINANCE(""Currency:USD""&amp;$P434,""price"",DATE(YEAR($L434),MONTH($L434),DAY($L434))),2,2),LOOKUP(P434,CurrencyCodes,UnitsPerUSD))"),1.0)</f>
        <v>1</v>
      </c>
      <c r="R434" s="17">
        <f t="shared" si="3"/>
        <v>525000</v>
      </c>
    </row>
    <row r="435">
      <c r="A435" s="7">
        <v>43919.63776633102</v>
      </c>
      <c r="B435" s="18" t="s">
        <v>18</v>
      </c>
      <c r="C435" s="19">
        <v>5433.0</v>
      </c>
      <c r="D435" s="18" t="s">
        <v>1603</v>
      </c>
      <c r="E435" s="18" t="s">
        <v>1604</v>
      </c>
      <c r="F435" s="18" t="s">
        <v>1589</v>
      </c>
      <c r="G435" s="19">
        <v>41015.0</v>
      </c>
      <c r="H435" s="21" t="s">
        <v>1173</v>
      </c>
      <c r="I435" s="21" t="s">
        <v>39</v>
      </c>
      <c r="J435" s="11">
        <v>1100000.0</v>
      </c>
      <c r="K435" s="21" t="s">
        <v>25</v>
      </c>
      <c r="L435" s="25">
        <v>43605.0</v>
      </c>
      <c r="M435" s="31" t="s">
        <v>1605</v>
      </c>
      <c r="N435" s="21"/>
      <c r="O435" s="15">
        <f t="shared" si="1"/>
        <v>2019</v>
      </c>
      <c r="P435" s="16" t="str">
        <f t="shared" si="2"/>
        <v>USD</v>
      </c>
      <c r="Q435" s="15">
        <f>IFERROR(__xludf.DUMMYFUNCTION("IFNA(INDEX(GOOGLEFINANCE(""Currency:USD""&amp;$P435,""price"",DATE(YEAR($L435),MONTH($L435),DAY($L435))),2,2),LOOKUP(P435,CurrencyCodes,UnitsPerUSD))"),1.0)</f>
        <v>1</v>
      </c>
      <c r="R435" s="17">
        <f t="shared" si="3"/>
        <v>1100000</v>
      </c>
    </row>
    <row r="436">
      <c r="A436" s="7">
        <v>43918.55779106481</v>
      </c>
      <c r="B436" s="18" t="s">
        <v>18</v>
      </c>
      <c r="C436" s="19">
        <v>205.0</v>
      </c>
      <c r="D436" s="18" t="s">
        <v>1606</v>
      </c>
      <c r="E436" s="18" t="s">
        <v>1607</v>
      </c>
      <c r="F436" s="18" t="s">
        <v>1589</v>
      </c>
      <c r="G436" s="19">
        <v>41097.0</v>
      </c>
      <c r="H436" s="21" t="s">
        <v>1173</v>
      </c>
      <c r="I436" s="21" t="s">
        <v>39</v>
      </c>
      <c r="J436" s="11">
        <v>180000.0</v>
      </c>
      <c r="K436" s="21" t="s">
        <v>25</v>
      </c>
      <c r="L436" s="25">
        <v>44166.0</v>
      </c>
      <c r="M436" s="28" t="s">
        <v>1608</v>
      </c>
      <c r="N436" s="21" t="s">
        <v>1609</v>
      </c>
      <c r="O436" s="15">
        <f t="shared" si="1"/>
        <v>2020</v>
      </c>
      <c r="P436" s="16" t="str">
        <f t="shared" si="2"/>
        <v>USD</v>
      </c>
      <c r="Q436" s="15">
        <f>IFERROR(__xludf.DUMMYFUNCTION("IFNA(INDEX(GOOGLEFINANCE(""Currency:USD""&amp;$P436,""price"",DATE(YEAR($L436),MONTH($L436),DAY($L436))),2,2),LOOKUP(P436,CurrencyCodes,UnitsPerUSD))"),1.0)</f>
        <v>1</v>
      </c>
      <c r="R436" s="17">
        <f t="shared" si="3"/>
        <v>180000</v>
      </c>
    </row>
    <row r="437">
      <c r="A437" s="7">
        <v>43970.30822365741</v>
      </c>
      <c r="B437" s="8" t="s">
        <v>18</v>
      </c>
      <c r="C437" s="9">
        <v>810.0</v>
      </c>
      <c r="D437" s="8" t="s">
        <v>1610</v>
      </c>
      <c r="E437" s="8" t="s">
        <v>1611</v>
      </c>
      <c r="F437" s="8" t="s">
        <v>1612</v>
      </c>
      <c r="G437" s="9">
        <v>70535.0</v>
      </c>
      <c r="H437" s="10" t="s">
        <v>1173</v>
      </c>
      <c r="I437" s="10" t="s">
        <v>24</v>
      </c>
      <c r="J437" s="11">
        <v>50000.0</v>
      </c>
      <c r="K437" s="10" t="s">
        <v>25</v>
      </c>
      <c r="L437" s="25">
        <v>43782.0</v>
      </c>
      <c r="M437" s="14" t="s">
        <v>1613</v>
      </c>
      <c r="N437" s="10"/>
      <c r="O437" s="15">
        <f t="shared" si="1"/>
        <v>2019</v>
      </c>
      <c r="P437" s="16" t="str">
        <f t="shared" si="2"/>
        <v>USD</v>
      </c>
      <c r="Q437" s="15">
        <f>IFERROR(__xludf.DUMMYFUNCTION("IFNA(INDEX(GOOGLEFINANCE(""Currency:USD""&amp;$P437,""price"",DATE(YEAR($L437),MONTH($L437),DAY($L437))),2,2),LOOKUP(P437,CurrencyCodes,UnitsPerUSD))"),1.0)</f>
        <v>1</v>
      </c>
      <c r="R437" s="17">
        <f t="shared" si="3"/>
        <v>50000</v>
      </c>
    </row>
    <row r="438">
      <c r="A438" s="7">
        <v>43965.981904687505</v>
      </c>
      <c r="B438" s="8" t="s">
        <v>18</v>
      </c>
      <c r="C438" s="9">
        <v>2124.0</v>
      </c>
      <c r="D438" s="8" t="s">
        <v>1614</v>
      </c>
      <c r="E438" s="8" t="s">
        <v>1615</v>
      </c>
      <c r="F438" s="8" t="s">
        <v>1612</v>
      </c>
      <c r="G438" s="9">
        <v>70438.0</v>
      </c>
      <c r="H438" s="10" t="s">
        <v>1173</v>
      </c>
      <c r="I438" s="10" t="s">
        <v>39</v>
      </c>
      <c r="J438" s="11">
        <v>115000.0</v>
      </c>
      <c r="K438" s="10" t="s">
        <v>25</v>
      </c>
      <c r="L438" s="25">
        <v>40567.0</v>
      </c>
      <c r="M438" s="28" t="s">
        <v>1616</v>
      </c>
      <c r="N438" s="12" t="s">
        <v>1617</v>
      </c>
      <c r="O438" s="15">
        <f t="shared" si="1"/>
        <v>2011</v>
      </c>
      <c r="P438" s="16" t="str">
        <f t="shared" si="2"/>
        <v>USD</v>
      </c>
      <c r="Q438" s="15">
        <f>IFERROR(__xludf.DUMMYFUNCTION("IFNA(INDEX(GOOGLEFINANCE(""Currency:USD""&amp;$P438,""price"",DATE(YEAR($L438),MONTH($L438),DAY($L438))),2,2),LOOKUP(P438,CurrencyCodes,UnitsPerUSD))"),1.0)</f>
        <v>1</v>
      </c>
      <c r="R438" s="17">
        <f t="shared" si="3"/>
        <v>115000</v>
      </c>
    </row>
    <row r="439">
      <c r="A439" s="7">
        <v>43966.25497432871</v>
      </c>
      <c r="B439" s="8" t="s">
        <v>18</v>
      </c>
      <c r="C439" s="9">
        <v>214.0</v>
      </c>
      <c r="D439" s="8" t="s">
        <v>1618</v>
      </c>
      <c r="E439" s="26" t="s">
        <v>1619</v>
      </c>
      <c r="F439" s="8" t="s">
        <v>1612</v>
      </c>
      <c r="G439" s="9">
        <v>70360.0</v>
      </c>
      <c r="H439" s="10" t="s">
        <v>1173</v>
      </c>
      <c r="I439" s="10" t="s">
        <v>39</v>
      </c>
      <c r="J439" s="11">
        <v>410000.0</v>
      </c>
      <c r="K439" s="10" t="s">
        <v>25</v>
      </c>
      <c r="L439" s="25">
        <v>41365.0</v>
      </c>
      <c r="M439" s="28" t="s">
        <v>1620</v>
      </c>
      <c r="N439" s="10" t="s">
        <v>1621</v>
      </c>
      <c r="O439" s="15">
        <f t="shared" si="1"/>
        <v>2013</v>
      </c>
      <c r="P439" s="16" t="str">
        <f t="shared" si="2"/>
        <v>USD</v>
      </c>
      <c r="Q439" s="15">
        <f>IFERROR(__xludf.DUMMYFUNCTION("IFNA(INDEX(GOOGLEFINANCE(""Currency:USD""&amp;$P439,""price"",DATE(YEAR($L439),MONTH($L439),DAY($L439))),2,2),LOOKUP(P439,CurrencyCodes,UnitsPerUSD))"),1.0)</f>
        <v>1</v>
      </c>
      <c r="R439" s="17">
        <f t="shared" si="3"/>
        <v>410000</v>
      </c>
    </row>
    <row r="440">
      <c r="A440" s="7">
        <v>43966.27762421296</v>
      </c>
      <c r="B440" s="8" t="s">
        <v>18</v>
      </c>
      <c r="C440" s="9">
        <v>1310.0</v>
      </c>
      <c r="D440" s="8" t="s">
        <v>1622</v>
      </c>
      <c r="E440" s="8" t="s">
        <v>1623</v>
      </c>
      <c r="F440" s="8" t="s">
        <v>1612</v>
      </c>
      <c r="G440" s="9">
        <v>70003.0</v>
      </c>
      <c r="H440" s="10" t="s">
        <v>1173</v>
      </c>
      <c r="I440" s="10" t="s">
        <v>39</v>
      </c>
      <c r="J440" s="11">
        <v>0.0</v>
      </c>
      <c r="K440" s="12" t="s">
        <v>25</v>
      </c>
      <c r="L440" s="13"/>
      <c r="M440" s="28" t="s">
        <v>1624</v>
      </c>
      <c r="N440" s="10" t="s">
        <v>1625</v>
      </c>
      <c r="O440" s="15" t="str">
        <f t="shared" si="1"/>
        <v>Unknown</v>
      </c>
      <c r="P440" s="16" t="str">
        <f t="shared" si="2"/>
        <v>USD</v>
      </c>
      <c r="Q440" s="15">
        <f>IFERROR(__xludf.DUMMYFUNCTION("IFNA(INDEX(GOOGLEFINANCE(""Currency:USD""&amp;$P440,""price"",DATE(YEAR($L440),MONTH($L440),DAY($L440))),2,2),LOOKUP(P440,CurrencyCodes,UnitsPerUSD))"),1.0)</f>
        <v>1</v>
      </c>
      <c r="R440" s="17">
        <f t="shared" si="3"/>
        <v>0</v>
      </c>
    </row>
    <row r="441">
      <c r="A441" s="7">
        <v>43966.349921493056</v>
      </c>
      <c r="B441" s="8" t="s">
        <v>18</v>
      </c>
      <c r="C441" s="9">
        <v>1855.0</v>
      </c>
      <c r="D441" s="8" t="s">
        <v>1626</v>
      </c>
      <c r="E441" s="8" t="s">
        <v>1627</v>
      </c>
      <c r="F441" s="8" t="s">
        <v>1612</v>
      </c>
      <c r="G441" s="9">
        <v>71457.0</v>
      </c>
      <c r="H441" s="10" t="s">
        <v>1173</v>
      </c>
      <c r="I441" s="10" t="s">
        <v>39</v>
      </c>
      <c r="J441" s="11">
        <v>0.0</v>
      </c>
      <c r="K441" s="12" t="s">
        <v>25</v>
      </c>
      <c r="L441" s="13"/>
      <c r="M441" s="28" t="s">
        <v>1628</v>
      </c>
      <c r="N441" s="10" t="s">
        <v>1629</v>
      </c>
      <c r="O441" s="15" t="str">
        <f t="shared" si="1"/>
        <v>Unknown</v>
      </c>
      <c r="P441" s="16" t="str">
        <f t="shared" si="2"/>
        <v>USD</v>
      </c>
      <c r="Q441" s="15">
        <f>IFERROR(__xludf.DUMMYFUNCTION("IFNA(INDEX(GOOGLEFINANCE(""Currency:USD""&amp;$P441,""price"",DATE(YEAR($L441),MONTH($L441),DAY($L441))),2,2),LOOKUP(P441,CurrencyCodes,UnitsPerUSD))"),1.0)</f>
        <v>1</v>
      </c>
      <c r="R441" s="17">
        <f t="shared" si="3"/>
        <v>0</v>
      </c>
    </row>
    <row r="442">
      <c r="A442" s="7">
        <v>43970.31784787037</v>
      </c>
      <c r="B442" s="8" t="s">
        <v>18</v>
      </c>
      <c r="C442" s="9">
        <v>3709.0</v>
      </c>
      <c r="D442" s="8" t="s">
        <v>1630</v>
      </c>
      <c r="E442" s="8" t="s">
        <v>1631</v>
      </c>
      <c r="F442" s="8" t="s">
        <v>1612</v>
      </c>
      <c r="G442" s="9">
        <v>70125.0</v>
      </c>
      <c r="H442" s="10" t="s">
        <v>1173</v>
      </c>
      <c r="I442" s="10" t="s">
        <v>39</v>
      </c>
      <c r="J442" s="11">
        <v>162300.0</v>
      </c>
      <c r="K442" s="10" t="s">
        <v>25</v>
      </c>
      <c r="L442" s="25">
        <v>42005.0</v>
      </c>
      <c r="M442" s="28" t="s">
        <v>1632</v>
      </c>
      <c r="N442" s="10" t="s">
        <v>1633</v>
      </c>
      <c r="O442" s="15">
        <f t="shared" si="1"/>
        <v>2015</v>
      </c>
      <c r="P442" s="16" t="str">
        <f t="shared" si="2"/>
        <v>USD</v>
      </c>
      <c r="Q442" s="15">
        <f>IFERROR(__xludf.DUMMYFUNCTION("IFNA(INDEX(GOOGLEFINANCE(""Currency:USD""&amp;$P442,""price"",DATE(YEAR($L442),MONTH($L442),DAY($L442))),2,2),LOOKUP(P442,CurrencyCodes,UnitsPerUSD))"),1.0)</f>
        <v>1</v>
      </c>
      <c r="R442" s="17">
        <f t="shared" si="3"/>
        <v>162300</v>
      </c>
    </row>
    <row r="443">
      <c r="A443" s="7">
        <v>43967.21468446759</v>
      </c>
      <c r="B443" s="8" t="s">
        <v>18</v>
      </c>
      <c r="C443" s="9">
        <v>3536.0</v>
      </c>
      <c r="D443" s="8" t="s">
        <v>1634</v>
      </c>
      <c r="E443" s="8" t="s">
        <v>1631</v>
      </c>
      <c r="F443" s="8" t="s">
        <v>1612</v>
      </c>
      <c r="G443" s="9">
        <v>70126.0</v>
      </c>
      <c r="H443" s="10" t="s">
        <v>1173</v>
      </c>
      <c r="I443" s="10" t="s">
        <v>39</v>
      </c>
      <c r="J443" s="11">
        <v>0.0</v>
      </c>
      <c r="K443" s="10" t="s">
        <v>25</v>
      </c>
      <c r="L443" s="25">
        <v>42142.0</v>
      </c>
      <c r="M443" s="28" t="s">
        <v>1635</v>
      </c>
      <c r="N443" s="10" t="s">
        <v>1636</v>
      </c>
      <c r="O443" s="15">
        <f t="shared" si="1"/>
        <v>2015</v>
      </c>
      <c r="P443" s="16" t="str">
        <f t="shared" si="2"/>
        <v>USD</v>
      </c>
      <c r="Q443" s="15">
        <f>IFERROR(__xludf.DUMMYFUNCTION("IFNA(INDEX(GOOGLEFINANCE(""Currency:USD""&amp;$P443,""price"",DATE(YEAR($L443),MONTH($L443),DAY($L443))),2,2),LOOKUP(P443,CurrencyCodes,UnitsPerUSD))"),1.0)</f>
        <v>1</v>
      </c>
      <c r="R443" s="17">
        <f t="shared" si="3"/>
        <v>0</v>
      </c>
    </row>
    <row r="444">
      <c r="A444" s="7">
        <v>43967.21619511574</v>
      </c>
      <c r="B444" s="8" t="s">
        <v>18</v>
      </c>
      <c r="C444" s="9">
        <v>2360.0</v>
      </c>
      <c r="D444" s="8" t="s">
        <v>1637</v>
      </c>
      <c r="E444" s="8" t="s">
        <v>1638</v>
      </c>
      <c r="F444" s="8" t="s">
        <v>1612</v>
      </c>
      <c r="G444" s="9">
        <v>70767.0</v>
      </c>
      <c r="H444" s="10" t="s">
        <v>1173</v>
      </c>
      <c r="I444" s="10" t="s">
        <v>24</v>
      </c>
      <c r="J444" s="11">
        <v>299000.0</v>
      </c>
      <c r="K444" s="12" t="s">
        <v>25</v>
      </c>
      <c r="L444" s="22"/>
      <c r="M444" s="14" t="s">
        <v>1639</v>
      </c>
      <c r="N444" s="10"/>
      <c r="O444" s="15" t="str">
        <f t="shared" si="1"/>
        <v>Unknown</v>
      </c>
      <c r="P444" s="16" t="str">
        <f t="shared" si="2"/>
        <v>USD</v>
      </c>
      <c r="Q444" s="15">
        <f>IFERROR(__xludf.DUMMYFUNCTION("IFNA(INDEX(GOOGLEFINANCE(""Currency:USD""&amp;$P444,""price"",DATE(YEAR($L444),MONTH($L444),DAY($L444))),2,2),LOOKUP(P444,CurrencyCodes,UnitsPerUSD))"),1.0)</f>
        <v>1</v>
      </c>
      <c r="R444" s="17">
        <f t="shared" si="3"/>
        <v>299000</v>
      </c>
    </row>
    <row r="445">
      <c r="A445" s="7">
        <v>43967.22060717593</v>
      </c>
      <c r="B445" s="8" t="s">
        <v>18</v>
      </c>
      <c r="C445" s="9">
        <v>41150.0</v>
      </c>
      <c r="D445" s="8" t="s">
        <v>1640</v>
      </c>
      <c r="E445" s="8" t="s">
        <v>1641</v>
      </c>
      <c r="F445" s="8" t="s">
        <v>1612</v>
      </c>
      <c r="G445" s="9">
        <v>70769.0</v>
      </c>
      <c r="H445" s="10" t="s">
        <v>1173</v>
      </c>
      <c r="I445" s="10" t="s">
        <v>39</v>
      </c>
      <c r="J445" s="11">
        <v>280000.0</v>
      </c>
      <c r="K445" s="10" t="s">
        <v>25</v>
      </c>
      <c r="L445" s="25">
        <v>40011.0</v>
      </c>
      <c r="M445" s="28" t="s">
        <v>1642</v>
      </c>
      <c r="N445" s="10" t="s">
        <v>1643</v>
      </c>
      <c r="O445" s="15">
        <f t="shared" si="1"/>
        <v>2009</v>
      </c>
      <c r="P445" s="16" t="str">
        <f t="shared" si="2"/>
        <v>USD</v>
      </c>
      <c r="Q445" s="15">
        <f>IFERROR(__xludf.DUMMYFUNCTION("IFNA(INDEX(GOOGLEFINANCE(""Currency:USD""&amp;$P445,""price"",DATE(YEAR($L445),MONTH($L445),DAY($L445))),2,2),LOOKUP(P445,CurrencyCodes,UnitsPerUSD))"),1.0)</f>
        <v>1</v>
      </c>
      <c r="R445" s="17">
        <f t="shared" si="3"/>
        <v>280000</v>
      </c>
    </row>
    <row r="446">
      <c r="A446" s="7">
        <v>43967.22454377315</v>
      </c>
      <c r="B446" s="18" t="s">
        <v>18</v>
      </c>
      <c r="C446" s="9">
        <v>4251.0</v>
      </c>
      <c r="D446" s="8" t="s">
        <v>1644</v>
      </c>
      <c r="E446" s="8" t="s">
        <v>1645</v>
      </c>
      <c r="F446" s="8" t="s">
        <v>1612</v>
      </c>
      <c r="G446" s="9">
        <v>71459.0</v>
      </c>
      <c r="H446" s="10" t="s">
        <v>1173</v>
      </c>
      <c r="I446" s="10" t="s">
        <v>39</v>
      </c>
      <c r="J446" s="11">
        <v>108500.0</v>
      </c>
      <c r="K446" s="10" t="s">
        <v>25</v>
      </c>
      <c r="L446" s="25">
        <v>42662.0</v>
      </c>
      <c r="M446" s="28" t="s">
        <v>1646</v>
      </c>
      <c r="N446" s="10" t="s">
        <v>1647</v>
      </c>
      <c r="O446" s="15">
        <f t="shared" si="1"/>
        <v>2016</v>
      </c>
      <c r="P446" s="16" t="str">
        <f t="shared" si="2"/>
        <v>USD</v>
      </c>
      <c r="Q446" s="15">
        <f>IFERROR(__xludf.DUMMYFUNCTION("IFNA(INDEX(GOOGLEFINANCE(""Currency:USD""&amp;$P446,""price"",DATE(YEAR($L446),MONTH($L446),DAY($L446))),2,2),LOOKUP(P446,CurrencyCodes,UnitsPerUSD))"),1.0)</f>
        <v>1</v>
      </c>
      <c r="R446" s="17">
        <f t="shared" si="3"/>
        <v>108500</v>
      </c>
    </row>
    <row r="447">
      <c r="A447" s="7">
        <v>43967.238994467596</v>
      </c>
      <c r="B447" s="8" t="s">
        <v>18</v>
      </c>
      <c r="C447" s="9">
        <v>2401.0</v>
      </c>
      <c r="D447" s="8" t="s">
        <v>1648</v>
      </c>
      <c r="E447" s="8" t="s">
        <v>1649</v>
      </c>
      <c r="F447" s="8" t="s">
        <v>1612</v>
      </c>
      <c r="G447" s="9">
        <v>71270.0</v>
      </c>
      <c r="H447" s="10" t="s">
        <v>1173</v>
      </c>
      <c r="I447" s="10" t="s">
        <v>39</v>
      </c>
      <c r="J447" s="11">
        <v>0.0</v>
      </c>
      <c r="K447" s="12" t="s">
        <v>25</v>
      </c>
      <c r="L447" s="22"/>
      <c r="M447" s="28" t="s">
        <v>1650</v>
      </c>
      <c r="N447" s="10" t="s">
        <v>1651</v>
      </c>
      <c r="O447" s="15" t="str">
        <f t="shared" si="1"/>
        <v>Unknown</v>
      </c>
      <c r="P447" s="16" t="str">
        <f t="shared" si="2"/>
        <v>USD</v>
      </c>
      <c r="Q447" s="15">
        <f>IFERROR(__xludf.DUMMYFUNCTION("IFNA(INDEX(GOOGLEFINANCE(""Currency:USD""&amp;$P447,""price"",DATE(YEAR($L447),MONTH($L447),DAY($L447))),2,2),LOOKUP(P447,CurrencyCodes,UnitsPerUSD))"),1.0)</f>
        <v>1</v>
      </c>
      <c r="R447" s="17">
        <f t="shared" si="3"/>
        <v>0</v>
      </c>
    </row>
    <row r="448">
      <c r="A448" s="7">
        <v>43967.24729511574</v>
      </c>
      <c r="B448" s="8" t="s">
        <v>18</v>
      </c>
      <c r="C448" s="9">
        <v>25687.0</v>
      </c>
      <c r="D448" s="8" t="s">
        <v>1652</v>
      </c>
      <c r="E448" s="8" t="s">
        <v>1653</v>
      </c>
      <c r="F448" s="8" t="s">
        <v>1612</v>
      </c>
      <c r="G448" s="9">
        <v>71071.0</v>
      </c>
      <c r="H448" s="10" t="s">
        <v>1173</v>
      </c>
      <c r="I448" s="10" t="s">
        <v>39</v>
      </c>
      <c r="J448" s="11">
        <v>0.0</v>
      </c>
      <c r="K448" s="12" t="s">
        <v>25</v>
      </c>
      <c r="L448" s="22"/>
      <c r="M448" s="28" t="s">
        <v>1654</v>
      </c>
      <c r="N448" s="12" t="s">
        <v>1655</v>
      </c>
      <c r="O448" s="15" t="str">
        <f t="shared" si="1"/>
        <v>Unknown</v>
      </c>
      <c r="P448" s="16" t="str">
        <f t="shared" si="2"/>
        <v>USD</v>
      </c>
      <c r="Q448" s="15">
        <f>IFERROR(__xludf.DUMMYFUNCTION("IFNA(INDEX(GOOGLEFINANCE(""Currency:USD""&amp;$P448,""price"",DATE(YEAR($L448),MONTH($L448),DAY($L448))),2,2),LOOKUP(P448,CurrencyCodes,UnitsPerUSD))"),1.0)</f>
        <v>1</v>
      </c>
      <c r="R448" s="17">
        <f t="shared" si="3"/>
        <v>0</v>
      </c>
    </row>
    <row r="449">
      <c r="A449" s="7">
        <v>43967.25207899306</v>
      </c>
      <c r="B449" s="8" t="s">
        <v>18</v>
      </c>
      <c r="C449" s="9">
        <v>1001.0</v>
      </c>
      <c r="D449" s="8" t="s">
        <v>1656</v>
      </c>
      <c r="E449" s="8" t="s">
        <v>1657</v>
      </c>
      <c r="F449" s="8" t="s">
        <v>1612</v>
      </c>
      <c r="G449" s="9">
        <v>70094.0</v>
      </c>
      <c r="H449" s="10" t="s">
        <v>1173</v>
      </c>
      <c r="I449" s="10" t="s">
        <v>39</v>
      </c>
      <c r="J449" s="11">
        <v>164650.0</v>
      </c>
      <c r="K449" s="10" t="s">
        <v>25</v>
      </c>
      <c r="L449" s="25">
        <v>43007.0</v>
      </c>
      <c r="M449" s="28" t="s">
        <v>1658</v>
      </c>
      <c r="N449" s="10" t="s">
        <v>1659</v>
      </c>
      <c r="O449" s="15">
        <f t="shared" si="1"/>
        <v>2017</v>
      </c>
      <c r="P449" s="16" t="str">
        <f t="shared" si="2"/>
        <v>USD</v>
      </c>
      <c r="Q449" s="15">
        <f>IFERROR(__xludf.DUMMYFUNCTION("IFNA(INDEX(GOOGLEFINANCE(""Currency:USD""&amp;$P449,""price"",DATE(YEAR($L449),MONTH($L449),DAY($L449))),2,2),LOOKUP(P449,CurrencyCodes,UnitsPerUSD))"),1.0)</f>
        <v>1</v>
      </c>
      <c r="R449" s="17">
        <f t="shared" si="3"/>
        <v>164650</v>
      </c>
    </row>
    <row r="450">
      <c r="A450" s="7">
        <v>43900.88520039352</v>
      </c>
      <c r="B450" s="18" t="s">
        <v>18</v>
      </c>
      <c r="C450" s="19">
        <v>310.0</v>
      </c>
      <c r="D450" s="18" t="s">
        <v>1660</v>
      </c>
      <c r="E450" s="18" t="s">
        <v>1661</v>
      </c>
      <c r="F450" s="18" t="s">
        <v>1662</v>
      </c>
      <c r="G450" s="32" t="s">
        <v>1663</v>
      </c>
      <c r="H450" s="21" t="s">
        <v>1173</v>
      </c>
      <c r="I450" s="21" t="s">
        <v>39</v>
      </c>
      <c r="J450" s="11">
        <v>401000.0</v>
      </c>
      <c r="K450" s="21" t="s">
        <v>25</v>
      </c>
      <c r="L450" s="25">
        <v>43760.0</v>
      </c>
      <c r="M450" s="31" t="s">
        <v>1664</v>
      </c>
      <c r="N450" s="10"/>
      <c r="O450" s="15">
        <f t="shared" si="1"/>
        <v>2019</v>
      </c>
      <c r="P450" s="16" t="str">
        <f t="shared" si="2"/>
        <v>USD</v>
      </c>
      <c r="Q450" s="15">
        <f>IFERROR(__xludf.DUMMYFUNCTION("IFNA(INDEX(GOOGLEFINANCE(""Currency:USD""&amp;$P450,""price"",DATE(YEAR($L450),MONTH($L450),DAY($L450))),2,2),LOOKUP(P450,CurrencyCodes,UnitsPerUSD))"),1.0)</f>
        <v>1</v>
      </c>
      <c r="R450" s="17">
        <f t="shared" si="3"/>
        <v>401000</v>
      </c>
    </row>
    <row r="451">
      <c r="A451" s="7">
        <v>43958.268466388894</v>
      </c>
      <c r="B451" s="8" t="s">
        <v>18</v>
      </c>
      <c r="C451" s="9">
        <v>136.0</v>
      </c>
      <c r="D451" s="8" t="s">
        <v>1665</v>
      </c>
      <c r="E451" s="26" t="s">
        <v>1666</v>
      </c>
      <c r="F451" s="8" t="s">
        <v>1662</v>
      </c>
      <c r="G451" s="29" t="s">
        <v>1667</v>
      </c>
      <c r="H451" s="10" t="s">
        <v>1173</v>
      </c>
      <c r="I451" s="10" t="s">
        <v>39</v>
      </c>
      <c r="J451" s="11">
        <v>2200000.0</v>
      </c>
      <c r="K451" s="10" t="s">
        <v>25</v>
      </c>
      <c r="L451" s="25">
        <v>40480.0</v>
      </c>
      <c r="M451" s="28" t="s">
        <v>1668</v>
      </c>
      <c r="N451" s="12" t="s">
        <v>1669</v>
      </c>
      <c r="O451" s="15">
        <f t="shared" si="1"/>
        <v>2010</v>
      </c>
      <c r="P451" s="16" t="str">
        <f t="shared" si="2"/>
        <v>USD</v>
      </c>
      <c r="Q451" s="15">
        <f>IFERROR(__xludf.DUMMYFUNCTION("IFNA(INDEX(GOOGLEFINANCE(""Currency:USD""&amp;$P451,""price"",DATE(YEAR($L451),MONTH($L451),DAY($L451))),2,2),LOOKUP(P451,CurrencyCodes,UnitsPerUSD))"),1.0)</f>
        <v>1</v>
      </c>
      <c r="R451" s="17">
        <f t="shared" si="3"/>
        <v>2200000</v>
      </c>
    </row>
    <row r="452">
      <c r="A452" s="7">
        <v>43958.27319577546</v>
      </c>
      <c r="B452" s="8" t="s">
        <v>18</v>
      </c>
      <c r="C452" s="9">
        <v>805.0</v>
      </c>
      <c r="D452" s="8" t="s">
        <v>1670</v>
      </c>
      <c r="E452" s="8" t="s">
        <v>1671</v>
      </c>
      <c r="F452" s="8" t="s">
        <v>1662</v>
      </c>
      <c r="G452" s="29" t="s">
        <v>1672</v>
      </c>
      <c r="H452" s="10" t="s">
        <v>1173</v>
      </c>
      <c r="I452" s="10" t="s">
        <v>39</v>
      </c>
      <c r="J452" s="11">
        <v>200000.0</v>
      </c>
      <c r="K452" s="10" t="s">
        <v>25</v>
      </c>
      <c r="L452" s="25">
        <v>41393.0</v>
      </c>
      <c r="M452" s="28" t="s">
        <v>1673</v>
      </c>
      <c r="N452" s="10" t="s">
        <v>1674</v>
      </c>
      <c r="O452" s="15">
        <f t="shared" si="1"/>
        <v>2013</v>
      </c>
      <c r="P452" s="16" t="str">
        <f t="shared" si="2"/>
        <v>USD</v>
      </c>
      <c r="Q452" s="15">
        <f>IFERROR(__xludf.DUMMYFUNCTION("IFNA(INDEX(GOOGLEFINANCE(""Currency:USD""&amp;$P452,""price"",DATE(YEAR($L452),MONTH($L452),DAY($L452))),2,2),LOOKUP(P452,CurrencyCodes,UnitsPerUSD))"),1.0)</f>
        <v>1</v>
      </c>
      <c r="R452" s="17">
        <f t="shared" si="3"/>
        <v>200000</v>
      </c>
    </row>
    <row r="453">
      <c r="A453" s="7">
        <v>43958.277514560184</v>
      </c>
      <c r="B453" s="8" t="s">
        <v>18</v>
      </c>
      <c r="C453" s="9">
        <v>1599.0</v>
      </c>
      <c r="D453" s="8" t="s">
        <v>1675</v>
      </c>
      <c r="E453" s="8" t="s">
        <v>1676</v>
      </c>
      <c r="F453" s="8" t="s">
        <v>1662</v>
      </c>
      <c r="G453" s="29" t="s">
        <v>1677</v>
      </c>
      <c r="H453" s="10" t="s">
        <v>1173</v>
      </c>
      <c r="I453" s="10" t="s">
        <v>39</v>
      </c>
      <c r="J453" s="11">
        <v>415000.0</v>
      </c>
      <c r="K453" s="10" t="s">
        <v>25</v>
      </c>
      <c r="L453" s="25">
        <v>39042.0</v>
      </c>
      <c r="M453" s="28" t="s">
        <v>1678</v>
      </c>
      <c r="N453" s="12" t="s">
        <v>1679</v>
      </c>
      <c r="O453" s="15">
        <f t="shared" si="1"/>
        <v>2006</v>
      </c>
      <c r="P453" s="16" t="str">
        <f t="shared" si="2"/>
        <v>USD</v>
      </c>
      <c r="Q453" s="15">
        <f>IFERROR(__xludf.DUMMYFUNCTION("IFNA(INDEX(GOOGLEFINANCE(""Currency:USD""&amp;$P453,""price"",DATE(YEAR($L453),MONTH($L453),DAY($L453))),2,2),LOOKUP(P453,CurrencyCodes,UnitsPerUSD))"),1.0)</f>
        <v>1</v>
      </c>
      <c r="R453" s="17">
        <f t="shared" si="3"/>
        <v>415000</v>
      </c>
    </row>
    <row r="454">
      <c r="A454" s="7">
        <v>43958.2853478125</v>
      </c>
      <c r="B454" s="8" t="s">
        <v>18</v>
      </c>
      <c r="C454" s="9">
        <v>4.0</v>
      </c>
      <c r="D454" s="8" t="s">
        <v>1680</v>
      </c>
      <c r="E454" s="8" t="s">
        <v>1681</v>
      </c>
      <c r="F454" s="8" t="s">
        <v>1662</v>
      </c>
      <c r="G454" s="29" t="s">
        <v>1682</v>
      </c>
      <c r="H454" s="10" t="s">
        <v>1173</v>
      </c>
      <c r="I454" s="10" t="s">
        <v>39</v>
      </c>
      <c r="J454" s="11">
        <v>250000.0</v>
      </c>
      <c r="K454" s="10" t="s">
        <v>25</v>
      </c>
      <c r="L454" s="25">
        <v>39939.0</v>
      </c>
      <c r="M454" s="28" t="s">
        <v>1683</v>
      </c>
      <c r="N454" s="10" t="s">
        <v>1684</v>
      </c>
      <c r="O454" s="15">
        <f t="shared" si="1"/>
        <v>2009</v>
      </c>
      <c r="P454" s="16" t="str">
        <f t="shared" si="2"/>
        <v>USD</v>
      </c>
      <c r="Q454" s="15">
        <f>IFERROR(__xludf.DUMMYFUNCTION("IFNA(INDEX(GOOGLEFINANCE(""Currency:USD""&amp;$P454,""price"",DATE(YEAR($L454),MONTH($L454),DAY($L454))),2,2),LOOKUP(P454,CurrencyCodes,UnitsPerUSD))"),1.0)</f>
        <v>1</v>
      </c>
      <c r="R454" s="17">
        <f t="shared" si="3"/>
        <v>250000</v>
      </c>
    </row>
    <row r="455">
      <c r="A455" s="7">
        <v>43958.30474637731</v>
      </c>
      <c r="B455" s="8" t="s">
        <v>18</v>
      </c>
      <c r="C455" s="9">
        <v>255.0</v>
      </c>
      <c r="D455" s="8" t="s">
        <v>1685</v>
      </c>
      <c r="E455" s="8" t="s">
        <v>1686</v>
      </c>
      <c r="F455" s="8" t="s">
        <v>1662</v>
      </c>
      <c r="G455" s="29" t="s">
        <v>1687</v>
      </c>
      <c r="H455" s="10" t="s">
        <v>1173</v>
      </c>
      <c r="I455" s="10" t="s">
        <v>39</v>
      </c>
      <c r="J455" s="11">
        <v>475000.0</v>
      </c>
      <c r="K455" s="10" t="s">
        <v>25</v>
      </c>
      <c r="L455" s="25">
        <v>40336.0</v>
      </c>
      <c r="M455" s="28" t="s">
        <v>1688</v>
      </c>
      <c r="N455" s="10" t="s">
        <v>1689</v>
      </c>
      <c r="O455" s="15">
        <f t="shared" si="1"/>
        <v>2010</v>
      </c>
      <c r="P455" s="16" t="str">
        <f t="shared" si="2"/>
        <v>USD</v>
      </c>
      <c r="Q455" s="15">
        <f>IFERROR(__xludf.DUMMYFUNCTION("IFNA(INDEX(GOOGLEFINANCE(""Currency:USD""&amp;$P455,""price"",DATE(YEAR($L455),MONTH($L455),DAY($L455))),2,2),LOOKUP(P455,CurrencyCodes,UnitsPerUSD))"),1.0)</f>
        <v>1</v>
      </c>
      <c r="R455" s="17">
        <f t="shared" si="3"/>
        <v>475000</v>
      </c>
    </row>
    <row r="456">
      <c r="A456" s="7">
        <v>43961.15970608796</v>
      </c>
      <c r="B456" s="8" t="s">
        <v>18</v>
      </c>
      <c r="C456" s="9">
        <v>412.0</v>
      </c>
      <c r="D456" s="8" t="s">
        <v>1690</v>
      </c>
      <c r="E456" s="8" t="s">
        <v>1691</v>
      </c>
      <c r="F456" s="8" t="s">
        <v>1662</v>
      </c>
      <c r="G456" s="29" t="s">
        <v>1692</v>
      </c>
      <c r="H456" s="10" t="s">
        <v>1173</v>
      </c>
      <c r="I456" s="10" t="s">
        <v>39</v>
      </c>
      <c r="J456" s="11">
        <v>170500.0</v>
      </c>
      <c r="K456" s="10" t="s">
        <v>25</v>
      </c>
      <c r="L456" s="25">
        <v>43024.0</v>
      </c>
      <c r="M456" s="14" t="s">
        <v>1693</v>
      </c>
      <c r="N456" s="10"/>
      <c r="O456" s="15">
        <f t="shared" si="1"/>
        <v>2017</v>
      </c>
      <c r="P456" s="16" t="str">
        <f t="shared" si="2"/>
        <v>USD</v>
      </c>
      <c r="Q456" s="15">
        <f>IFERROR(__xludf.DUMMYFUNCTION("IFNA(INDEX(GOOGLEFINANCE(""Currency:USD""&amp;$P456,""price"",DATE(YEAR($L456),MONTH($L456),DAY($L456))),2,2),LOOKUP(P456,CurrencyCodes,UnitsPerUSD))"),1.0)</f>
        <v>1</v>
      </c>
      <c r="R456" s="17">
        <f t="shared" si="3"/>
        <v>170500</v>
      </c>
    </row>
    <row r="457">
      <c r="A457" s="7">
        <v>43919.530309444446</v>
      </c>
      <c r="B457" s="8" t="s">
        <v>18</v>
      </c>
      <c r="C457" s="9">
        <v>700.0</v>
      </c>
      <c r="D457" s="8" t="s">
        <v>1694</v>
      </c>
      <c r="E457" s="8" t="s">
        <v>1695</v>
      </c>
      <c r="F457" s="8" t="s">
        <v>1662</v>
      </c>
      <c r="G457" s="29" t="s">
        <v>1696</v>
      </c>
      <c r="H457" s="10" t="s">
        <v>1173</v>
      </c>
      <c r="I457" s="10" t="s">
        <v>39</v>
      </c>
      <c r="J457" s="11">
        <v>410000.0</v>
      </c>
      <c r="K457" s="10" t="s">
        <v>25</v>
      </c>
      <c r="L457" s="25">
        <v>43818.0</v>
      </c>
      <c r="M457" s="28" t="s">
        <v>1697</v>
      </c>
      <c r="N457" s="12" t="s">
        <v>1698</v>
      </c>
      <c r="O457" s="15">
        <f t="shared" si="1"/>
        <v>2019</v>
      </c>
      <c r="P457" s="16" t="str">
        <f t="shared" si="2"/>
        <v>USD</v>
      </c>
      <c r="Q457" s="15">
        <f>IFERROR(__xludf.DUMMYFUNCTION("IFNA(INDEX(GOOGLEFINANCE(""Currency:USD""&amp;$P457,""price"",DATE(YEAR($L457),MONTH($L457),DAY($L457))),2,2),LOOKUP(P457,CurrencyCodes,UnitsPerUSD))"),1.0)</f>
        <v>1</v>
      </c>
      <c r="R457" s="17">
        <f t="shared" si="3"/>
        <v>410000</v>
      </c>
    </row>
    <row r="458">
      <c r="A458" s="7">
        <v>43961.16605665509</v>
      </c>
      <c r="B458" s="8" t="s">
        <v>18</v>
      </c>
      <c r="C458" s="9">
        <v>187.0</v>
      </c>
      <c r="D458" s="8" t="s">
        <v>1699</v>
      </c>
      <c r="E458" s="8" t="s">
        <v>1540</v>
      </c>
      <c r="F458" s="8" t="s">
        <v>1662</v>
      </c>
      <c r="G458" s="29" t="s">
        <v>1700</v>
      </c>
      <c r="H458" s="10" t="s">
        <v>1173</v>
      </c>
      <c r="I458" s="10" t="s">
        <v>39</v>
      </c>
      <c r="J458" s="11">
        <v>360000.0</v>
      </c>
      <c r="K458" s="10" t="s">
        <v>25</v>
      </c>
      <c r="L458" s="25">
        <v>39750.0</v>
      </c>
      <c r="M458" s="28" t="s">
        <v>1701</v>
      </c>
      <c r="N458" s="10" t="s">
        <v>1702</v>
      </c>
      <c r="O458" s="15">
        <f t="shared" si="1"/>
        <v>2008</v>
      </c>
      <c r="P458" s="16" t="str">
        <f t="shared" si="2"/>
        <v>USD</v>
      </c>
      <c r="Q458" s="15">
        <f>IFERROR(__xludf.DUMMYFUNCTION("IFNA(INDEX(GOOGLEFINANCE(""Currency:USD""&amp;$P458,""price"",DATE(YEAR($L458),MONTH($L458),DAY($L458))),2,2),LOOKUP(P458,CurrencyCodes,UnitsPerUSD))"),1.0)</f>
        <v>1</v>
      </c>
      <c r="R458" s="17">
        <f t="shared" si="3"/>
        <v>360000</v>
      </c>
    </row>
    <row r="459">
      <c r="A459" s="7">
        <v>43961.16925212963</v>
      </c>
      <c r="B459" s="8" t="s">
        <v>18</v>
      </c>
      <c r="C459" s="9">
        <v>1984.0</v>
      </c>
      <c r="D459" s="8" t="s">
        <v>1703</v>
      </c>
      <c r="E459" s="8" t="s">
        <v>1704</v>
      </c>
      <c r="F459" s="8" t="s">
        <v>1662</v>
      </c>
      <c r="G459" s="29" t="s">
        <v>1705</v>
      </c>
      <c r="H459" s="10" t="s">
        <v>1173</v>
      </c>
      <c r="I459" s="10" t="s">
        <v>39</v>
      </c>
      <c r="J459" s="11">
        <v>330000.0</v>
      </c>
      <c r="K459" s="10" t="s">
        <v>25</v>
      </c>
      <c r="L459" s="25">
        <v>38917.0</v>
      </c>
      <c r="M459" s="28" t="s">
        <v>1706</v>
      </c>
      <c r="N459" s="10" t="s">
        <v>1535</v>
      </c>
      <c r="O459" s="15">
        <f t="shared" si="1"/>
        <v>2006</v>
      </c>
      <c r="P459" s="16" t="str">
        <f t="shared" si="2"/>
        <v>USD</v>
      </c>
      <c r="Q459" s="15">
        <f>IFERROR(__xludf.DUMMYFUNCTION("IFNA(INDEX(GOOGLEFINANCE(""Currency:USD""&amp;$P459,""price"",DATE(YEAR($L459),MONTH($L459),DAY($L459))),2,2),LOOKUP(P459,CurrencyCodes,UnitsPerUSD))"),1.0)</f>
        <v>1</v>
      </c>
      <c r="R459" s="17">
        <f t="shared" si="3"/>
        <v>330000</v>
      </c>
    </row>
    <row r="460">
      <c r="A460" s="7">
        <v>43972.994715821755</v>
      </c>
      <c r="B460" s="8" t="s">
        <v>18</v>
      </c>
      <c r="C460" s="9">
        <v>3627.0</v>
      </c>
      <c r="D460" s="8" t="s">
        <v>1707</v>
      </c>
      <c r="E460" s="8" t="s">
        <v>1708</v>
      </c>
      <c r="F460" s="8" t="s">
        <v>1709</v>
      </c>
      <c r="G460" s="9">
        <v>21218.0</v>
      </c>
      <c r="H460" s="10" t="s">
        <v>1173</v>
      </c>
      <c r="I460" s="10" t="s">
        <v>39</v>
      </c>
      <c r="J460" s="11">
        <v>306350.0</v>
      </c>
      <c r="K460" s="10" t="s">
        <v>25</v>
      </c>
      <c r="L460" s="25">
        <v>40633.0</v>
      </c>
      <c r="M460" s="28" t="s">
        <v>1710</v>
      </c>
      <c r="N460" s="10" t="s">
        <v>1711</v>
      </c>
      <c r="O460" s="15">
        <f t="shared" si="1"/>
        <v>2011</v>
      </c>
      <c r="P460" s="16" t="str">
        <f t="shared" si="2"/>
        <v>USD</v>
      </c>
      <c r="Q460" s="15">
        <f>IFERROR(__xludf.DUMMYFUNCTION("IFNA(INDEX(GOOGLEFINANCE(""Currency:USD""&amp;$P460,""price"",DATE(YEAR($L460),MONTH($L460),DAY($L460))),2,2),LOOKUP(P460,CurrencyCodes,UnitsPerUSD))"),1.0)</f>
        <v>1</v>
      </c>
      <c r="R460" s="17">
        <f t="shared" si="3"/>
        <v>306350</v>
      </c>
    </row>
    <row r="461">
      <c r="A461" s="7">
        <v>43972.98796425926</v>
      </c>
      <c r="B461" s="8" t="s">
        <v>18</v>
      </c>
      <c r="C461" s="9">
        <v>1107.0</v>
      </c>
      <c r="D461" s="8" t="s">
        <v>1712</v>
      </c>
      <c r="E461" s="8" t="s">
        <v>1708</v>
      </c>
      <c r="F461" s="8" t="s">
        <v>1709</v>
      </c>
      <c r="G461" s="9">
        <v>21213.0</v>
      </c>
      <c r="H461" s="10" t="s">
        <v>1173</v>
      </c>
      <c r="I461" s="10" t="s">
        <v>39</v>
      </c>
      <c r="J461" s="11">
        <v>0.0</v>
      </c>
      <c r="K461" s="12" t="s">
        <v>25</v>
      </c>
      <c r="L461" s="13"/>
      <c r="M461" s="28" t="s">
        <v>1713</v>
      </c>
      <c r="N461" s="10" t="s">
        <v>1714</v>
      </c>
      <c r="O461" s="15" t="str">
        <f t="shared" si="1"/>
        <v>Unknown</v>
      </c>
      <c r="P461" s="16" t="str">
        <f t="shared" si="2"/>
        <v>USD</v>
      </c>
      <c r="Q461" s="15">
        <f>IFERROR(__xludf.DUMMYFUNCTION("IFNA(INDEX(GOOGLEFINANCE(""Currency:USD""&amp;$P461,""price"",DATE(YEAR($L461),MONTH($L461),DAY($L461))),2,2),LOOKUP(P461,CurrencyCodes,UnitsPerUSD))"),1.0)</f>
        <v>1</v>
      </c>
      <c r="R461" s="17">
        <f t="shared" si="3"/>
        <v>0</v>
      </c>
    </row>
    <row r="462">
      <c r="A462" s="7">
        <v>43973.01870921296</v>
      </c>
      <c r="B462" s="8" t="s">
        <v>18</v>
      </c>
      <c r="C462" s="9">
        <v>609.0</v>
      </c>
      <c r="D462" s="8" t="s">
        <v>1715</v>
      </c>
      <c r="E462" s="8" t="s">
        <v>1716</v>
      </c>
      <c r="F462" s="8" t="s">
        <v>1709</v>
      </c>
      <c r="G462" s="9">
        <v>21613.0</v>
      </c>
      <c r="H462" s="10" t="s">
        <v>1173</v>
      </c>
      <c r="I462" s="10" t="s">
        <v>39</v>
      </c>
      <c r="J462" s="11">
        <v>165900.0</v>
      </c>
      <c r="K462" s="10" t="s">
        <v>25</v>
      </c>
      <c r="L462" s="25">
        <v>39814.0</v>
      </c>
      <c r="M462" s="28" t="s">
        <v>1717</v>
      </c>
      <c r="N462" s="10" t="s">
        <v>1718</v>
      </c>
      <c r="O462" s="15">
        <f t="shared" si="1"/>
        <v>2009</v>
      </c>
      <c r="P462" s="16" t="str">
        <f t="shared" si="2"/>
        <v>USD</v>
      </c>
      <c r="Q462" s="15">
        <f>IFERROR(__xludf.DUMMYFUNCTION("IFNA(INDEX(GOOGLEFINANCE(""Currency:USD""&amp;$P462,""price"",DATE(YEAR($L462),MONTH($L462),DAY($L462))),2,2),LOOKUP(P462,CurrencyCodes,UnitsPerUSD))"),1.0)</f>
        <v>1</v>
      </c>
      <c r="R462" s="17">
        <f t="shared" si="3"/>
        <v>165900</v>
      </c>
    </row>
    <row r="463">
      <c r="A463" s="7">
        <v>43973.02208106482</v>
      </c>
      <c r="B463" s="8" t="s">
        <v>18</v>
      </c>
      <c r="C463" s="9">
        <v>6107.0</v>
      </c>
      <c r="D463" s="8" t="s">
        <v>1719</v>
      </c>
      <c r="E463" s="8" t="s">
        <v>1720</v>
      </c>
      <c r="F463" s="8" t="s">
        <v>1709</v>
      </c>
      <c r="G463" s="9">
        <v>20743.0</v>
      </c>
      <c r="H463" s="10" t="s">
        <v>1173</v>
      </c>
      <c r="I463" s="10" t="s">
        <v>39</v>
      </c>
      <c r="J463" s="11">
        <v>600000.0</v>
      </c>
      <c r="K463" s="10" t="s">
        <v>25</v>
      </c>
      <c r="L463" s="25">
        <v>39673.0</v>
      </c>
      <c r="M463" s="28" t="s">
        <v>1721</v>
      </c>
      <c r="N463" s="10" t="s">
        <v>1722</v>
      </c>
      <c r="O463" s="15">
        <f t="shared" si="1"/>
        <v>2008</v>
      </c>
      <c r="P463" s="16" t="str">
        <f t="shared" si="2"/>
        <v>USD</v>
      </c>
      <c r="Q463" s="15">
        <f>IFERROR(__xludf.DUMMYFUNCTION("IFNA(INDEX(GOOGLEFINANCE(""Currency:USD""&amp;$P463,""price"",DATE(YEAR($L463),MONTH($L463),DAY($L463))),2,2),LOOKUP(P463,CurrencyCodes,UnitsPerUSD))"),1.0)</f>
        <v>1</v>
      </c>
      <c r="R463" s="17">
        <f t="shared" si="3"/>
        <v>600000</v>
      </c>
    </row>
    <row r="464">
      <c r="A464" s="7">
        <v>43973.03628034722</v>
      </c>
      <c r="B464" s="8" t="s">
        <v>18</v>
      </c>
      <c r="C464" s="9">
        <v>1928.0</v>
      </c>
      <c r="D464" s="8" t="s">
        <v>1723</v>
      </c>
      <c r="E464" s="8" t="s">
        <v>1724</v>
      </c>
      <c r="F464" s="8" t="s">
        <v>1709</v>
      </c>
      <c r="G464" s="9">
        <v>21228.0</v>
      </c>
      <c r="H464" s="10" t="s">
        <v>1173</v>
      </c>
      <c r="I464" s="10" t="s">
        <v>39</v>
      </c>
      <c r="J464" s="11">
        <v>410000.0</v>
      </c>
      <c r="K464" s="10" t="s">
        <v>25</v>
      </c>
      <c r="L464" s="25">
        <v>43299.0</v>
      </c>
      <c r="M464" s="28" t="s">
        <v>1725</v>
      </c>
      <c r="N464" s="10" t="s">
        <v>1726</v>
      </c>
      <c r="O464" s="15">
        <f t="shared" si="1"/>
        <v>2018</v>
      </c>
      <c r="P464" s="16" t="str">
        <f t="shared" si="2"/>
        <v>USD</v>
      </c>
      <c r="Q464" s="15">
        <f>IFERROR(__xludf.DUMMYFUNCTION("IFNA(INDEX(GOOGLEFINANCE(""Currency:USD""&amp;$P464,""price"",DATE(YEAR($L464),MONTH($L464),DAY($L464))),2,2),LOOKUP(P464,CurrencyCodes,UnitsPerUSD))"),1.0)</f>
        <v>1</v>
      </c>
      <c r="R464" s="17">
        <f t="shared" si="3"/>
        <v>410000</v>
      </c>
    </row>
    <row r="465">
      <c r="A465" s="7">
        <v>43973.04028365741</v>
      </c>
      <c r="B465" s="8" t="s">
        <v>18</v>
      </c>
      <c r="C465" s="9">
        <v>10300.0</v>
      </c>
      <c r="D465" s="8" t="s">
        <v>1727</v>
      </c>
      <c r="E465" s="8" t="s">
        <v>1728</v>
      </c>
      <c r="F465" s="8" t="s">
        <v>1709</v>
      </c>
      <c r="G465" s="9">
        <v>21502.0</v>
      </c>
      <c r="H465" s="10" t="s">
        <v>1173</v>
      </c>
      <c r="I465" s="10" t="s">
        <v>39</v>
      </c>
      <c r="J465" s="11">
        <v>599900.0</v>
      </c>
      <c r="K465" s="10" t="s">
        <v>25</v>
      </c>
      <c r="L465" s="25">
        <v>40186.0</v>
      </c>
      <c r="M465" s="28" t="s">
        <v>1729</v>
      </c>
      <c r="N465" s="10" t="s">
        <v>1730</v>
      </c>
      <c r="O465" s="15">
        <f t="shared" si="1"/>
        <v>2010</v>
      </c>
      <c r="P465" s="16" t="str">
        <f t="shared" si="2"/>
        <v>USD</v>
      </c>
      <c r="Q465" s="15">
        <f>IFERROR(__xludf.DUMMYFUNCTION("IFNA(INDEX(GOOGLEFINANCE(""Currency:USD""&amp;$P465,""price"",DATE(YEAR($L465),MONTH($L465),DAY($L465))),2,2),LOOKUP(P465,CurrencyCodes,UnitsPerUSD))"),1.0)</f>
        <v>1</v>
      </c>
      <c r="R465" s="17">
        <f t="shared" si="3"/>
        <v>599900</v>
      </c>
    </row>
    <row r="466">
      <c r="A466" s="7">
        <v>43973.04621876158</v>
      </c>
      <c r="B466" s="8" t="s">
        <v>18</v>
      </c>
      <c r="C466" s="9">
        <v>9805.0</v>
      </c>
      <c r="D466" s="8" t="s">
        <v>1731</v>
      </c>
      <c r="E466" s="8" t="s">
        <v>1732</v>
      </c>
      <c r="F466" s="8" t="s">
        <v>1709</v>
      </c>
      <c r="G466" s="9">
        <v>20723.0</v>
      </c>
      <c r="H466" s="10" t="s">
        <v>1173</v>
      </c>
      <c r="I466" s="10" t="s">
        <v>39</v>
      </c>
      <c r="J466" s="11">
        <v>1215000.0</v>
      </c>
      <c r="K466" s="10" t="s">
        <v>25</v>
      </c>
      <c r="L466" s="25">
        <v>43125.0</v>
      </c>
      <c r="M466" s="28" t="s">
        <v>1733</v>
      </c>
      <c r="N466" s="10" t="s">
        <v>1535</v>
      </c>
      <c r="O466" s="15">
        <f t="shared" si="1"/>
        <v>2018</v>
      </c>
      <c r="P466" s="16" t="str">
        <f t="shared" si="2"/>
        <v>USD</v>
      </c>
      <c r="Q466" s="15">
        <f>IFERROR(__xludf.DUMMYFUNCTION("IFNA(INDEX(GOOGLEFINANCE(""Currency:USD""&amp;$P466,""price"",DATE(YEAR($L466),MONTH($L466),DAY($L466))),2,2),LOOKUP(P466,CurrencyCodes,UnitsPerUSD))"),1.0)</f>
        <v>1</v>
      </c>
      <c r="R466" s="17">
        <f t="shared" si="3"/>
        <v>1215000</v>
      </c>
    </row>
    <row r="467">
      <c r="A467" s="7">
        <v>43973.01313180556</v>
      </c>
      <c r="B467" s="8" t="s">
        <v>18</v>
      </c>
      <c r="C467" s="9">
        <v>1400.0</v>
      </c>
      <c r="D467" s="8" t="s">
        <v>1734</v>
      </c>
      <c r="E467" s="8" t="s">
        <v>1735</v>
      </c>
      <c r="F467" s="8" t="s">
        <v>1709</v>
      </c>
      <c r="G467" s="9">
        <v>21237.0</v>
      </c>
      <c r="H467" s="10" t="s">
        <v>1173</v>
      </c>
      <c r="I467" s="10" t="s">
        <v>39</v>
      </c>
      <c r="J467" s="11">
        <v>275000.0</v>
      </c>
      <c r="K467" s="10" t="s">
        <v>25</v>
      </c>
      <c r="L467" s="25">
        <v>40995.0</v>
      </c>
      <c r="M467" s="28" t="s">
        <v>1736</v>
      </c>
      <c r="N467" s="10" t="s">
        <v>1659</v>
      </c>
      <c r="O467" s="15">
        <f t="shared" si="1"/>
        <v>2012</v>
      </c>
      <c r="P467" s="16" t="str">
        <f t="shared" si="2"/>
        <v>USD</v>
      </c>
      <c r="Q467" s="15">
        <f>IFERROR(__xludf.DUMMYFUNCTION("IFNA(INDEX(GOOGLEFINANCE(""Currency:USD""&amp;$P467,""price"",DATE(YEAR($L467),MONTH($L467),DAY($L467))),2,2),LOOKUP(P467,CurrencyCodes,UnitsPerUSD))"),1.0)</f>
        <v>1</v>
      </c>
      <c r="R467" s="17">
        <f t="shared" si="3"/>
        <v>275000</v>
      </c>
    </row>
    <row r="468">
      <c r="A468" s="7">
        <v>43918.418164386574</v>
      </c>
      <c r="B468" s="18" t="s">
        <v>18</v>
      </c>
      <c r="C468" s="19">
        <v>7843.0</v>
      </c>
      <c r="D468" s="18" t="s">
        <v>1737</v>
      </c>
      <c r="E468" s="18" t="s">
        <v>1738</v>
      </c>
      <c r="F468" s="18" t="s">
        <v>1709</v>
      </c>
      <c r="G468" s="9">
        <v>21801.0</v>
      </c>
      <c r="H468" s="21" t="s">
        <v>1173</v>
      </c>
      <c r="I468" s="21" t="s">
        <v>39</v>
      </c>
      <c r="J468" s="11">
        <v>546800.0</v>
      </c>
      <c r="K468" s="21" t="s">
        <v>25</v>
      </c>
      <c r="L468" s="25">
        <v>41640.0</v>
      </c>
      <c r="M468" s="28" t="s">
        <v>1739</v>
      </c>
      <c r="N468" s="21" t="s">
        <v>1740</v>
      </c>
      <c r="O468" s="15">
        <f t="shared" si="1"/>
        <v>2014</v>
      </c>
      <c r="P468" s="16" t="str">
        <f t="shared" si="2"/>
        <v>USD</v>
      </c>
      <c r="Q468" s="15">
        <f>IFERROR(__xludf.DUMMYFUNCTION("IFNA(INDEX(GOOGLEFINANCE(""Currency:USD""&amp;$P468,""price"",DATE(YEAR($L468),MONTH($L468),DAY($L468))),2,2),LOOKUP(P468,CurrencyCodes,UnitsPerUSD))"),1.0)</f>
        <v>1</v>
      </c>
      <c r="R468" s="17">
        <f t="shared" si="3"/>
        <v>546800</v>
      </c>
    </row>
    <row r="469">
      <c r="A469" s="7">
        <v>43952.319300567135</v>
      </c>
      <c r="B469" s="8" t="s">
        <v>18</v>
      </c>
      <c r="C469" s="9">
        <v>36.0</v>
      </c>
      <c r="D469" s="8" t="s">
        <v>1573</v>
      </c>
      <c r="E469" s="8" t="s">
        <v>1741</v>
      </c>
      <c r="F469" s="26" t="s">
        <v>1742</v>
      </c>
      <c r="G469" s="29" t="s">
        <v>1743</v>
      </c>
      <c r="H469" s="10" t="s">
        <v>1173</v>
      </c>
      <c r="I469" s="10" t="s">
        <v>39</v>
      </c>
      <c r="J469" s="11">
        <v>0.0</v>
      </c>
      <c r="K469" s="12" t="s">
        <v>25</v>
      </c>
      <c r="L469" s="13"/>
      <c r="M469" s="28" t="s">
        <v>1744</v>
      </c>
      <c r="N469" s="10" t="s">
        <v>1745</v>
      </c>
      <c r="O469" s="15" t="str">
        <f t="shared" si="1"/>
        <v>Unknown</v>
      </c>
      <c r="P469" s="16" t="str">
        <f t="shared" si="2"/>
        <v>USD</v>
      </c>
      <c r="Q469" s="15">
        <f>IFERROR(__xludf.DUMMYFUNCTION("IFNA(INDEX(GOOGLEFINANCE(""Currency:USD""&amp;$P469,""price"",DATE(YEAR($L469),MONTH($L469),DAY($L469))),2,2),LOOKUP(P469,CurrencyCodes,UnitsPerUSD))"),1.0)</f>
        <v>1</v>
      </c>
      <c r="R469" s="17">
        <f t="shared" si="3"/>
        <v>0</v>
      </c>
    </row>
    <row r="470">
      <c r="A470" s="7">
        <v>43952.34976668982</v>
      </c>
      <c r="B470" s="8" t="s">
        <v>18</v>
      </c>
      <c r="C470" s="9">
        <v>157.0</v>
      </c>
      <c r="D470" s="8" t="s">
        <v>1746</v>
      </c>
      <c r="E470" s="8" t="s">
        <v>1747</v>
      </c>
      <c r="F470" s="8" t="s">
        <v>1742</v>
      </c>
      <c r="G470" s="29" t="s">
        <v>1748</v>
      </c>
      <c r="H470" s="10" t="s">
        <v>1173</v>
      </c>
      <c r="I470" s="10" t="s">
        <v>39</v>
      </c>
      <c r="J470" s="11">
        <v>189000.0</v>
      </c>
      <c r="K470" s="10" t="s">
        <v>25</v>
      </c>
      <c r="L470" s="25">
        <v>43941.0</v>
      </c>
      <c r="M470" s="28" t="s">
        <v>1749</v>
      </c>
      <c r="N470" s="12" t="s">
        <v>1750</v>
      </c>
      <c r="O470" s="15">
        <f t="shared" si="1"/>
        <v>2020</v>
      </c>
      <c r="P470" s="16" t="str">
        <f t="shared" si="2"/>
        <v>USD</v>
      </c>
      <c r="Q470" s="15">
        <f>IFERROR(__xludf.DUMMYFUNCTION("IFNA(INDEX(GOOGLEFINANCE(""Currency:USD""&amp;$P470,""price"",DATE(YEAR($L470),MONTH($L470),DAY($L470))),2,2),LOOKUP(P470,CurrencyCodes,UnitsPerUSD))"),1.0)</f>
        <v>1</v>
      </c>
      <c r="R470" s="17">
        <f t="shared" si="3"/>
        <v>189000</v>
      </c>
    </row>
    <row r="471">
      <c r="A471" s="7">
        <v>43952.3576609375</v>
      </c>
      <c r="B471" s="8" t="s">
        <v>18</v>
      </c>
      <c r="C471" s="9">
        <v>21.0</v>
      </c>
      <c r="D471" s="8" t="s">
        <v>1751</v>
      </c>
      <c r="E471" s="8" t="s">
        <v>1752</v>
      </c>
      <c r="F471" s="8" t="s">
        <v>1742</v>
      </c>
      <c r="G471" s="29" t="s">
        <v>1753</v>
      </c>
      <c r="H471" s="10" t="s">
        <v>1173</v>
      </c>
      <c r="I471" s="10" t="s">
        <v>39</v>
      </c>
      <c r="J471" s="11">
        <v>285000.0</v>
      </c>
      <c r="K471" s="10" t="s">
        <v>25</v>
      </c>
      <c r="L471" s="25">
        <v>40927.0</v>
      </c>
      <c r="M471" s="14" t="s">
        <v>1754</v>
      </c>
      <c r="N471" s="10"/>
      <c r="O471" s="15">
        <f t="shared" si="1"/>
        <v>2012</v>
      </c>
      <c r="P471" s="16" t="str">
        <f t="shared" si="2"/>
        <v>USD</v>
      </c>
      <c r="Q471" s="15">
        <f>IFERROR(__xludf.DUMMYFUNCTION("IFNA(INDEX(GOOGLEFINANCE(""Currency:USD""&amp;$P471,""price"",DATE(YEAR($L471),MONTH($L471),DAY($L471))),2,2),LOOKUP(P471,CurrencyCodes,UnitsPerUSD))"),1.0)</f>
        <v>1</v>
      </c>
      <c r="R471" s="17">
        <f t="shared" si="3"/>
        <v>285000</v>
      </c>
    </row>
    <row r="472">
      <c r="A472" s="7">
        <v>43931.444827997686</v>
      </c>
      <c r="B472" s="18" t="s">
        <v>18</v>
      </c>
      <c r="C472" s="19">
        <v>329.0</v>
      </c>
      <c r="D472" s="18" t="s">
        <v>1210</v>
      </c>
      <c r="E472" s="18" t="s">
        <v>1755</v>
      </c>
      <c r="F472" s="18" t="s">
        <v>1756</v>
      </c>
      <c r="G472" s="19">
        <v>49220.0</v>
      </c>
      <c r="H472" s="21" t="s">
        <v>1173</v>
      </c>
      <c r="I472" s="21" t="s">
        <v>24</v>
      </c>
      <c r="J472" s="11">
        <v>180000.0</v>
      </c>
      <c r="K472" s="21" t="s">
        <v>25</v>
      </c>
      <c r="L472" s="25">
        <v>43586.0</v>
      </c>
      <c r="M472" s="24" t="s">
        <v>1757</v>
      </c>
      <c r="N472" s="27" t="s">
        <v>1758</v>
      </c>
      <c r="O472" s="15">
        <f t="shared" si="1"/>
        <v>2019</v>
      </c>
      <c r="P472" s="16" t="str">
        <f t="shared" si="2"/>
        <v>USD</v>
      </c>
      <c r="Q472" s="15">
        <f>IFERROR(__xludf.DUMMYFUNCTION("IFNA(INDEX(GOOGLEFINANCE(""Currency:USD""&amp;$P472,""price"",DATE(YEAR($L472),MONTH($L472),DAY($L472))),2,2),LOOKUP(P472,CurrencyCodes,UnitsPerUSD))"),1.0)</f>
        <v>1</v>
      </c>
      <c r="R472" s="17">
        <f t="shared" si="3"/>
        <v>180000</v>
      </c>
    </row>
    <row r="473">
      <c r="A473" s="7">
        <v>43928.293968530095</v>
      </c>
      <c r="B473" s="18" t="s">
        <v>18</v>
      </c>
      <c r="C473" s="9">
        <v>1040.0</v>
      </c>
      <c r="D473" s="8" t="s">
        <v>1759</v>
      </c>
      <c r="E473" s="18" t="s">
        <v>1760</v>
      </c>
      <c r="F473" s="8" t="s">
        <v>1756</v>
      </c>
      <c r="G473" s="9">
        <v>49221.0</v>
      </c>
      <c r="H473" s="21" t="s">
        <v>1173</v>
      </c>
      <c r="I473" s="21" t="s">
        <v>39</v>
      </c>
      <c r="J473" s="11">
        <v>0.0</v>
      </c>
      <c r="K473" s="27" t="s">
        <v>25</v>
      </c>
      <c r="L473" s="22"/>
      <c r="M473" s="10"/>
      <c r="N473" s="27" t="s">
        <v>1761</v>
      </c>
      <c r="O473" s="15" t="str">
        <f t="shared" si="1"/>
        <v>Unknown</v>
      </c>
      <c r="P473" s="16" t="str">
        <f t="shared" si="2"/>
        <v>USD</v>
      </c>
      <c r="Q473" s="15">
        <f>IFERROR(__xludf.DUMMYFUNCTION("IFNA(INDEX(GOOGLEFINANCE(""Currency:USD""&amp;$P473,""price"",DATE(YEAR($L473),MONTH($L473),DAY($L473))),2,2),LOOKUP(P473,CurrencyCodes,UnitsPerUSD))"),1.0)</f>
        <v>1</v>
      </c>
      <c r="R473" s="17">
        <f t="shared" si="3"/>
        <v>0</v>
      </c>
    </row>
    <row r="474">
      <c r="A474" s="7">
        <v>43928.29728270833</v>
      </c>
      <c r="B474" s="8" t="s">
        <v>18</v>
      </c>
      <c r="C474" s="9">
        <v>107.0</v>
      </c>
      <c r="D474" s="8" t="s">
        <v>1762</v>
      </c>
      <c r="E474" s="8" t="s">
        <v>1763</v>
      </c>
      <c r="F474" s="8" t="s">
        <v>1756</v>
      </c>
      <c r="G474" s="9">
        <v>48801.0</v>
      </c>
      <c r="H474" s="10" t="s">
        <v>1173</v>
      </c>
      <c r="I474" s="10" t="s">
        <v>39</v>
      </c>
      <c r="J474" s="11">
        <v>54000.0</v>
      </c>
      <c r="K474" s="10" t="s">
        <v>25</v>
      </c>
      <c r="L474" s="25">
        <v>43403.0</v>
      </c>
      <c r="M474" s="28" t="s">
        <v>1764</v>
      </c>
      <c r="N474" s="12" t="s">
        <v>1765</v>
      </c>
      <c r="O474" s="15">
        <f t="shared" si="1"/>
        <v>2018</v>
      </c>
      <c r="P474" s="16" t="str">
        <f t="shared" si="2"/>
        <v>USD</v>
      </c>
      <c r="Q474" s="15">
        <f>IFERROR(__xludf.DUMMYFUNCTION("IFNA(INDEX(GOOGLEFINANCE(""Currency:USD""&amp;$P474,""price"",DATE(YEAR($L474),MONTH($L474),DAY($L474))),2,2),LOOKUP(P474,CurrencyCodes,UnitsPerUSD))"),1.0)</f>
        <v>1</v>
      </c>
      <c r="R474" s="17">
        <f t="shared" si="3"/>
        <v>54000</v>
      </c>
    </row>
    <row r="475">
      <c r="A475" s="7">
        <v>43931.542214710644</v>
      </c>
      <c r="B475" s="18" t="s">
        <v>18</v>
      </c>
      <c r="C475" s="19">
        <v>7085.0</v>
      </c>
      <c r="D475" s="18" t="s">
        <v>1766</v>
      </c>
      <c r="E475" s="18" t="s">
        <v>1767</v>
      </c>
      <c r="F475" s="8" t="s">
        <v>1756</v>
      </c>
      <c r="G475" s="9">
        <v>49014.0</v>
      </c>
      <c r="H475" s="21" t="s">
        <v>1173</v>
      </c>
      <c r="I475" s="21" t="s">
        <v>39</v>
      </c>
      <c r="J475" s="11">
        <v>99900.0</v>
      </c>
      <c r="K475" s="21" t="s">
        <v>25</v>
      </c>
      <c r="L475" s="25">
        <v>43819.0</v>
      </c>
      <c r="M475" s="24" t="s">
        <v>1768</v>
      </c>
      <c r="N475" s="27" t="s">
        <v>1769</v>
      </c>
      <c r="O475" s="15">
        <f t="shared" si="1"/>
        <v>2019</v>
      </c>
      <c r="P475" s="16" t="str">
        <f t="shared" si="2"/>
        <v>USD</v>
      </c>
      <c r="Q475" s="15">
        <f>IFERROR(__xludf.DUMMYFUNCTION("IFNA(INDEX(GOOGLEFINANCE(""Currency:USD""&amp;$P475,""price"",DATE(YEAR($L475),MONTH($L475),DAY($L475))),2,2),LOOKUP(P475,CurrencyCodes,UnitsPerUSD))"),1.0)</f>
        <v>1</v>
      </c>
      <c r="R475" s="17">
        <f t="shared" si="3"/>
        <v>99900</v>
      </c>
    </row>
    <row r="476">
      <c r="A476" s="7">
        <v>43928.307237037036</v>
      </c>
      <c r="B476" s="18" t="s">
        <v>18</v>
      </c>
      <c r="C476" s="19">
        <v>115.0</v>
      </c>
      <c r="D476" s="18" t="s">
        <v>1770</v>
      </c>
      <c r="E476" s="18" t="s">
        <v>1767</v>
      </c>
      <c r="F476" s="18" t="s">
        <v>1756</v>
      </c>
      <c r="G476" s="19">
        <v>49017.0</v>
      </c>
      <c r="H476" s="21" t="s">
        <v>1173</v>
      </c>
      <c r="I476" s="21" t="s">
        <v>39</v>
      </c>
      <c r="J476" s="11">
        <v>165000.0</v>
      </c>
      <c r="K476" s="21" t="s">
        <v>25</v>
      </c>
      <c r="L476" s="25">
        <v>38306.0</v>
      </c>
      <c r="M476" s="24" t="s">
        <v>1771</v>
      </c>
      <c r="N476" s="33" t="s">
        <v>1772</v>
      </c>
      <c r="O476" s="15">
        <f t="shared" si="1"/>
        <v>2004</v>
      </c>
      <c r="P476" s="16" t="str">
        <f t="shared" si="2"/>
        <v>USD</v>
      </c>
      <c r="Q476" s="15">
        <f>IFERROR(__xludf.DUMMYFUNCTION("IFNA(INDEX(GOOGLEFINANCE(""Currency:USD""&amp;$P476,""price"",DATE(YEAR($L476),MONTH($L476),DAY($L476))),2,2),LOOKUP(P476,CurrencyCodes,UnitsPerUSD))"),1.0)</f>
        <v>1</v>
      </c>
      <c r="R476" s="17">
        <f t="shared" si="3"/>
        <v>165000</v>
      </c>
    </row>
    <row r="477">
      <c r="A477" s="7">
        <v>43928.31079898148</v>
      </c>
      <c r="B477" s="18" t="s">
        <v>18</v>
      </c>
      <c r="C477" s="19">
        <v>6001.0</v>
      </c>
      <c r="D477" s="18" t="s">
        <v>1773</v>
      </c>
      <c r="E477" s="18" t="s">
        <v>1774</v>
      </c>
      <c r="F477" s="18" t="s">
        <v>1756</v>
      </c>
      <c r="G477" s="19">
        <v>49306.0</v>
      </c>
      <c r="H477" s="21" t="s">
        <v>1173</v>
      </c>
      <c r="I477" s="21" t="s">
        <v>24</v>
      </c>
      <c r="J477" s="11">
        <v>459000.0</v>
      </c>
      <c r="K477" s="27" t="s">
        <v>25</v>
      </c>
      <c r="L477" s="22"/>
      <c r="M477" s="24" t="s">
        <v>1775</v>
      </c>
      <c r="N477" s="12" t="s">
        <v>1776</v>
      </c>
      <c r="O477" s="15" t="str">
        <f t="shared" si="1"/>
        <v>Unknown</v>
      </c>
      <c r="P477" s="16" t="str">
        <f t="shared" si="2"/>
        <v>USD</v>
      </c>
      <c r="Q477" s="15">
        <f>IFERROR(__xludf.DUMMYFUNCTION("IFNA(INDEX(GOOGLEFINANCE(""Currency:USD""&amp;$P477,""price"",DATE(YEAR($L477),MONTH($L477),DAY($L477))),2,2),LOOKUP(P477,CurrencyCodes,UnitsPerUSD))"),1.0)</f>
        <v>1</v>
      </c>
      <c r="R477" s="17">
        <f t="shared" si="3"/>
        <v>459000</v>
      </c>
    </row>
    <row r="478">
      <c r="A478" s="7">
        <v>43944.48551550926</v>
      </c>
      <c r="B478" s="18" t="s">
        <v>18</v>
      </c>
      <c r="C478" s="19">
        <v>1580.0</v>
      </c>
      <c r="D478" s="18" t="s">
        <v>1777</v>
      </c>
      <c r="E478" s="18" t="s">
        <v>1778</v>
      </c>
      <c r="F478" s="18" t="s">
        <v>1756</v>
      </c>
      <c r="G478" s="19">
        <v>48302.0</v>
      </c>
      <c r="H478" s="21" t="s">
        <v>1173</v>
      </c>
      <c r="I478" s="21" t="s">
        <v>39</v>
      </c>
      <c r="J478" s="11">
        <v>0.0</v>
      </c>
      <c r="K478" s="27" t="s">
        <v>25</v>
      </c>
      <c r="L478" s="22"/>
      <c r="M478" s="10"/>
      <c r="N478" s="27" t="s">
        <v>1779</v>
      </c>
      <c r="O478" s="15" t="str">
        <f t="shared" si="1"/>
        <v>Unknown</v>
      </c>
      <c r="P478" s="16" t="str">
        <f t="shared" si="2"/>
        <v>USD</v>
      </c>
      <c r="Q478" s="15">
        <f>IFERROR(__xludf.DUMMYFUNCTION("IFNA(INDEX(GOOGLEFINANCE(""Currency:USD""&amp;$P478,""price"",DATE(YEAR($L478),MONTH($L478),DAY($L478))),2,2),LOOKUP(P478,CurrencyCodes,UnitsPerUSD))"),1.0)</f>
        <v>1</v>
      </c>
      <c r="R478" s="17">
        <f t="shared" si="3"/>
        <v>0</v>
      </c>
    </row>
    <row r="479">
      <c r="A479" s="7">
        <v>43928.31878554398</v>
      </c>
      <c r="B479" s="18" t="s">
        <v>18</v>
      </c>
      <c r="C479" s="19">
        <v>6436.0</v>
      </c>
      <c r="D479" s="18" t="s">
        <v>1780</v>
      </c>
      <c r="E479" s="18" t="s">
        <v>1781</v>
      </c>
      <c r="F479" s="18" t="s">
        <v>1756</v>
      </c>
      <c r="G479" s="19">
        <v>49107.0</v>
      </c>
      <c r="H479" s="21" t="s">
        <v>1173</v>
      </c>
      <c r="I479" s="21" t="s">
        <v>39</v>
      </c>
      <c r="J479" s="11">
        <v>0.0</v>
      </c>
      <c r="K479" s="27" t="s">
        <v>25</v>
      </c>
      <c r="L479" s="22"/>
      <c r="M479" s="21"/>
      <c r="N479" s="10" t="s">
        <v>1782</v>
      </c>
      <c r="O479" s="15" t="str">
        <f t="shared" si="1"/>
        <v>Unknown</v>
      </c>
      <c r="P479" s="16" t="str">
        <f t="shared" si="2"/>
        <v>USD</v>
      </c>
      <c r="Q479" s="15">
        <f>IFERROR(__xludf.DUMMYFUNCTION("IFNA(INDEX(GOOGLEFINANCE(""Currency:USD""&amp;$P479,""price"",DATE(YEAR($L479),MONTH($L479),DAY($L479))),2,2),LOOKUP(P479,CurrencyCodes,UnitsPerUSD))"),1.0)</f>
        <v>1</v>
      </c>
      <c r="R479" s="17">
        <f t="shared" si="3"/>
        <v>0</v>
      </c>
    </row>
    <row r="480">
      <c r="A480" s="7">
        <v>43928.32360229167</v>
      </c>
      <c r="B480" s="18" t="s">
        <v>18</v>
      </c>
      <c r="C480" s="19">
        <v>4017.0</v>
      </c>
      <c r="D480" s="18" t="s">
        <v>1783</v>
      </c>
      <c r="E480" s="18" t="s">
        <v>1784</v>
      </c>
      <c r="F480" s="18" t="s">
        <v>1756</v>
      </c>
      <c r="G480" s="19">
        <v>49107.0</v>
      </c>
      <c r="H480" s="21" t="s">
        <v>1173</v>
      </c>
      <c r="I480" s="21" t="s">
        <v>39</v>
      </c>
      <c r="J480" s="11">
        <v>0.0</v>
      </c>
      <c r="K480" s="27" t="s">
        <v>25</v>
      </c>
      <c r="L480" s="22"/>
      <c r="M480" s="21"/>
      <c r="N480" s="27" t="s">
        <v>1785</v>
      </c>
      <c r="O480" s="15" t="str">
        <f t="shared" si="1"/>
        <v>Unknown</v>
      </c>
      <c r="P480" s="16" t="str">
        <f t="shared" si="2"/>
        <v>USD</v>
      </c>
      <c r="Q480" s="15">
        <f>IFERROR(__xludf.DUMMYFUNCTION("IFNA(INDEX(GOOGLEFINANCE(""Currency:USD""&amp;$P480,""price"",DATE(YEAR($L480),MONTH($L480),DAY($L480))),2,2),LOOKUP(P480,CurrencyCodes,UnitsPerUSD))"),1.0)</f>
        <v>1</v>
      </c>
      <c r="R480" s="17">
        <f t="shared" si="3"/>
        <v>0</v>
      </c>
    </row>
    <row r="481">
      <c r="A481" s="7">
        <v>43928.320295833335</v>
      </c>
      <c r="B481" s="18" t="s">
        <v>61</v>
      </c>
      <c r="C481" s="9">
        <v>3835.0</v>
      </c>
      <c r="D481" s="18" t="s">
        <v>1783</v>
      </c>
      <c r="E481" s="18" t="s">
        <v>1786</v>
      </c>
      <c r="F481" s="8" t="s">
        <v>1756</v>
      </c>
      <c r="G481" s="9">
        <v>49107.0</v>
      </c>
      <c r="H481" s="21" t="s">
        <v>1173</v>
      </c>
      <c r="I481" s="21" t="s">
        <v>39</v>
      </c>
      <c r="J481" s="11">
        <v>0.0</v>
      </c>
      <c r="K481" s="27" t="s">
        <v>25</v>
      </c>
      <c r="L481" s="22"/>
      <c r="M481" s="21"/>
      <c r="N481" s="21"/>
      <c r="O481" s="15" t="str">
        <f t="shared" si="1"/>
        <v>Unknown</v>
      </c>
      <c r="P481" s="16" t="str">
        <f t="shared" si="2"/>
        <v>USD</v>
      </c>
      <c r="Q481" s="15">
        <f>IFERROR(__xludf.DUMMYFUNCTION("IFNA(INDEX(GOOGLEFINANCE(""Currency:USD""&amp;$P481,""price"",DATE(YEAR($L481),MONTH($L481),DAY($L481))),2,2),LOOKUP(P481,CurrencyCodes,UnitsPerUSD))"),1.0)</f>
        <v>1</v>
      </c>
      <c r="R481" s="17">
        <f t="shared" si="3"/>
        <v>0</v>
      </c>
    </row>
    <row r="482">
      <c r="A482" s="7">
        <v>43928.327172164354</v>
      </c>
      <c r="B482" s="18" t="s">
        <v>18</v>
      </c>
      <c r="C482" s="9">
        <v>7033.0</v>
      </c>
      <c r="D482" s="18" t="s">
        <v>1787</v>
      </c>
      <c r="E482" s="18" t="s">
        <v>1788</v>
      </c>
      <c r="F482" s="18" t="s">
        <v>1756</v>
      </c>
      <c r="G482" s="19">
        <v>49316.0</v>
      </c>
      <c r="H482" s="21" t="s">
        <v>1173</v>
      </c>
      <c r="I482" s="21" t="s">
        <v>39</v>
      </c>
      <c r="J482" s="11">
        <v>0.0</v>
      </c>
      <c r="K482" s="27" t="s">
        <v>25</v>
      </c>
      <c r="L482" s="22"/>
      <c r="M482" s="24" t="s">
        <v>1789</v>
      </c>
      <c r="N482" s="21" t="s">
        <v>1790</v>
      </c>
      <c r="O482" s="15" t="str">
        <f t="shared" si="1"/>
        <v>Unknown</v>
      </c>
      <c r="P482" s="16" t="str">
        <f t="shared" si="2"/>
        <v>USD</v>
      </c>
      <c r="Q482" s="15">
        <f>IFERROR(__xludf.DUMMYFUNCTION("IFNA(INDEX(GOOGLEFINANCE(""Currency:USD""&amp;$P482,""price"",DATE(YEAR($L482),MONTH($L482),DAY($L482))),2,2),LOOKUP(P482,CurrencyCodes,UnitsPerUSD))"),1.0)</f>
        <v>1</v>
      </c>
      <c r="R482" s="17">
        <f t="shared" si="3"/>
        <v>0</v>
      </c>
    </row>
    <row r="483">
      <c r="A483" s="7">
        <v>43928.941784849536</v>
      </c>
      <c r="B483" s="8" t="s">
        <v>18</v>
      </c>
      <c r="C483" s="9">
        <v>23386.0</v>
      </c>
      <c r="D483" s="8" t="s">
        <v>1791</v>
      </c>
      <c r="E483" s="8" t="s">
        <v>1792</v>
      </c>
      <c r="F483" s="8" t="s">
        <v>1756</v>
      </c>
      <c r="G483" s="9">
        <v>49913.0</v>
      </c>
      <c r="H483" s="10" t="s">
        <v>1173</v>
      </c>
      <c r="I483" s="10" t="s">
        <v>39</v>
      </c>
      <c r="J483" s="11">
        <v>0.0</v>
      </c>
      <c r="K483" s="12" t="s">
        <v>25</v>
      </c>
      <c r="L483" s="22"/>
      <c r="M483" s="10"/>
      <c r="N483" s="10"/>
      <c r="O483" s="15" t="str">
        <f t="shared" si="1"/>
        <v>Unknown</v>
      </c>
      <c r="P483" s="16" t="str">
        <f t="shared" si="2"/>
        <v>USD</v>
      </c>
      <c r="Q483" s="15">
        <f>IFERROR(__xludf.DUMMYFUNCTION("IFNA(INDEX(GOOGLEFINANCE(""Currency:USD""&amp;$P483,""price"",DATE(YEAR($L483),MONTH($L483),DAY($L483))),2,2),LOOKUP(P483,CurrencyCodes,UnitsPerUSD))"),1.0)</f>
        <v>1</v>
      </c>
      <c r="R483" s="17">
        <f t="shared" si="3"/>
        <v>0</v>
      </c>
    </row>
    <row r="484">
      <c r="A484" s="7">
        <v>43928.94583701389</v>
      </c>
      <c r="B484" s="18" t="s">
        <v>18</v>
      </c>
      <c r="C484" s="19">
        <v>1659.0</v>
      </c>
      <c r="D484" s="18" t="s">
        <v>1793</v>
      </c>
      <c r="E484" s="18" t="s">
        <v>1794</v>
      </c>
      <c r="F484" s="18" t="s">
        <v>1756</v>
      </c>
      <c r="G484" s="19">
        <v>48723.0</v>
      </c>
      <c r="H484" s="21" t="s">
        <v>1173</v>
      </c>
      <c r="I484" s="21" t="s">
        <v>39</v>
      </c>
      <c r="J484" s="11">
        <v>55000.0</v>
      </c>
      <c r="K484" s="21" t="s">
        <v>25</v>
      </c>
      <c r="L484" s="25">
        <v>42823.0</v>
      </c>
      <c r="M484" s="24" t="s">
        <v>1795</v>
      </c>
      <c r="N484" s="21" t="s">
        <v>1796</v>
      </c>
      <c r="O484" s="15">
        <f t="shared" si="1"/>
        <v>2017</v>
      </c>
      <c r="P484" s="16" t="str">
        <f t="shared" si="2"/>
        <v>USD</v>
      </c>
      <c r="Q484" s="15">
        <f>IFERROR(__xludf.DUMMYFUNCTION("IFNA(INDEX(GOOGLEFINANCE(""Currency:USD""&amp;$P484,""price"",DATE(YEAR($L484),MONTH($L484),DAY($L484))),2,2),LOOKUP(P484,CurrencyCodes,UnitsPerUSD))"),1.0)</f>
        <v>1</v>
      </c>
      <c r="R484" s="17">
        <f t="shared" si="3"/>
        <v>55000</v>
      </c>
    </row>
    <row r="485">
      <c r="A485" s="7">
        <v>43919.63046168981</v>
      </c>
      <c r="B485" s="18" t="s">
        <v>18</v>
      </c>
      <c r="C485" s="19">
        <v>23247.0</v>
      </c>
      <c r="D485" s="18" t="s">
        <v>1797</v>
      </c>
      <c r="E485" s="18" t="s">
        <v>1798</v>
      </c>
      <c r="F485" s="18" t="s">
        <v>1756</v>
      </c>
      <c r="G485" s="9">
        <v>49031.0</v>
      </c>
      <c r="H485" s="21" t="s">
        <v>1173</v>
      </c>
      <c r="I485" s="21" t="s">
        <v>39</v>
      </c>
      <c r="J485" s="11">
        <v>117000.0</v>
      </c>
      <c r="K485" s="21" t="s">
        <v>25</v>
      </c>
      <c r="L485" s="25">
        <v>43734.0</v>
      </c>
      <c r="M485" s="31" t="s">
        <v>1799</v>
      </c>
      <c r="N485" s="21"/>
      <c r="O485" s="15">
        <f t="shared" si="1"/>
        <v>2019</v>
      </c>
      <c r="P485" s="16" t="str">
        <f t="shared" si="2"/>
        <v>USD</v>
      </c>
      <c r="Q485" s="15">
        <f>IFERROR(__xludf.DUMMYFUNCTION("IFNA(INDEX(GOOGLEFINANCE(""Currency:USD""&amp;$P485,""price"",DATE(YEAR($L485),MONTH($L485),DAY($L485))),2,2),LOOKUP(P485,CurrencyCodes,UnitsPerUSD))"),1.0)</f>
        <v>1</v>
      </c>
      <c r="R485" s="17">
        <f t="shared" si="3"/>
        <v>117000</v>
      </c>
    </row>
    <row r="486">
      <c r="A486" s="7">
        <v>43923.30591591435</v>
      </c>
      <c r="B486" s="18" t="s">
        <v>18</v>
      </c>
      <c r="C486" s="19">
        <v>7085.0</v>
      </c>
      <c r="D486" s="18" t="s">
        <v>1800</v>
      </c>
      <c r="E486" s="18" t="s">
        <v>1801</v>
      </c>
      <c r="F486" s="18" t="s">
        <v>1756</v>
      </c>
      <c r="G486" s="19">
        <v>49033.0</v>
      </c>
      <c r="H486" s="21" t="s">
        <v>1173</v>
      </c>
      <c r="I486" s="21" t="s">
        <v>39</v>
      </c>
      <c r="J486" s="11">
        <v>99000.0</v>
      </c>
      <c r="K486" s="21" t="s">
        <v>25</v>
      </c>
      <c r="L486" s="25">
        <v>43812.0</v>
      </c>
      <c r="M486" s="31" t="s">
        <v>1802</v>
      </c>
      <c r="N486" s="21"/>
      <c r="O486" s="15">
        <f t="shared" si="1"/>
        <v>2019</v>
      </c>
      <c r="P486" s="16" t="str">
        <f t="shared" si="2"/>
        <v>USD</v>
      </c>
      <c r="Q486" s="15">
        <f>IFERROR(__xludf.DUMMYFUNCTION("IFNA(INDEX(GOOGLEFINANCE(""Currency:USD""&amp;$P486,""price"",DATE(YEAR($L486),MONTH($L486),DAY($L486))),2,2),LOOKUP(P486,CurrencyCodes,UnitsPerUSD))"),1.0)</f>
        <v>1</v>
      </c>
      <c r="R486" s="17">
        <f t="shared" si="3"/>
        <v>99000</v>
      </c>
    </row>
    <row r="487">
      <c r="A487" s="7">
        <v>43928.948391956015</v>
      </c>
      <c r="B487" s="18" t="s">
        <v>18</v>
      </c>
      <c r="C487" s="19">
        <v>10.0</v>
      </c>
      <c r="D487" s="18" t="s">
        <v>1803</v>
      </c>
      <c r="E487" s="18" t="s">
        <v>1804</v>
      </c>
      <c r="F487" s="18" t="s">
        <v>1756</v>
      </c>
      <c r="G487" s="19">
        <v>48813.0</v>
      </c>
      <c r="H487" s="21" t="s">
        <v>1173</v>
      </c>
      <c r="I487" s="21" t="s">
        <v>39</v>
      </c>
      <c r="J487" s="11">
        <v>0.0</v>
      </c>
      <c r="K487" s="27" t="s">
        <v>25</v>
      </c>
      <c r="L487" s="22"/>
      <c r="M487" s="21"/>
      <c r="N487" s="12" t="s">
        <v>1805</v>
      </c>
      <c r="O487" s="15" t="str">
        <f t="shared" si="1"/>
        <v>Unknown</v>
      </c>
      <c r="P487" s="16" t="str">
        <f t="shared" si="2"/>
        <v>USD</v>
      </c>
      <c r="Q487" s="15">
        <f>IFERROR(__xludf.DUMMYFUNCTION("IFNA(INDEX(GOOGLEFINANCE(""Currency:USD""&amp;$P487,""price"",DATE(YEAR($L487),MONTH($L487),DAY($L487))),2,2),LOOKUP(P487,CurrencyCodes,UnitsPerUSD))"),1.0)</f>
        <v>1</v>
      </c>
      <c r="R487" s="17">
        <f t="shared" si="3"/>
        <v>0</v>
      </c>
    </row>
    <row r="488">
      <c r="A488" s="7">
        <v>43929.18630204861</v>
      </c>
      <c r="B488" s="8" t="s">
        <v>18</v>
      </c>
      <c r="C488" s="9">
        <v>6177.0</v>
      </c>
      <c r="D488" s="8" t="s">
        <v>1806</v>
      </c>
      <c r="E488" s="8" t="s">
        <v>1807</v>
      </c>
      <c r="F488" s="8" t="s">
        <v>1756</v>
      </c>
      <c r="G488" s="9">
        <v>48617.0</v>
      </c>
      <c r="H488" s="10" t="s">
        <v>1173</v>
      </c>
      <c r="I488" s="10" t="s">
        <v>39</v>
      </c>
      <c r="J488" s="11">
        <v>150000.0</v>
      </c>
      <c r="K488" s="10" t="s">
        <v>25</v>
      </c>
      <c r="L488" s="25">
        <v>40672.0</v>
      </c>
      <c r="M488" s="28" t="s">
        <v>1808</v>
      </c>
      <c r="N488" s="12" t="s">
        <v>1809</v>
      </c>
      <c r="O488" s="15">
        <f t="shared" si="1"/>
        <v>2011</v>
      </c>
      <c r="P488" s="16" t="str">
        <f t="shared" si="2"/>
        <v>USD</v>
      </c>
      <c r="Q488" s="15">
        <f>IFERROR(__xludf.DUMMYFUNCTION("IFNA(INDEX(GOOGLEFINANCE(""Currency:USD""&amp;$P488,""price"",DATE(YEAR($L488),MONTH($L488),DAY($L488))),2,2),LOOKUP(P488,CurrencyCodes,UnitsPerUSD))"),1.0)</f>
        <v>1</v>
      </c>
      <c r="R488" s="17">
        <f t="shared" si="3"/>
        <v>150000</v>
      </c>
    </row>
    <row r="489">
      <c r="A489" s="7">
        <v>43929.196718541665</v>
      </c>
      <c r="B489" s="18" t="s">
        <v>18</v>
      </c>
      <c r="C489" s="19">
        <v>2141.0</v>
      </c>
      <c r="D489" s="18" t="s">
        <v>1810</v>
      </c>
      <c r="E489" s="18" t="s">
        <v>1811</v>
      </c>
      <c r="F489" s="18" t="s">
        <v>1756</v>
      </c>
      <c r="G489" s="19">
        <v>48617.0</v>
      </c>
      <c r="H489" s="21" t="s">
        <v>1173</v>
      </c>
      <c r="I489" s="21" t="s">
        <v>39</v>
      </c>
      <c r="J489" s="11">
        <v>0.0</v>
      </c>
      <c r="K489" s="27" t="s">
        <v>25</v>
      </c>
      <c r="L489" s="22"/>
      <c r="M489" s="21"/>
      <c r="N489" s="12" t="s">
        <v>1812</v>
      </c>
      <c r="O489" s="15" t="str">
        <f t="shared" si="1"/>
        <v>Unknown</v>
      </c>
      <c r="P489" s="16" t="str">
        <f t="shared" si="2"/>
        <v>USD</v>
      </c>
      <c r="Q489" s="15">
        <f>IFERROR(__xludf.DUMMYFUNCTION("IFNA(INDEX(GOOGLEFINANCE(""Currency:USD""&amp;$P489,""price"",DATE(YEAR($L489),MONTH($L489),DAY($L489))),2,2),LOOKUP(P489,CurrencyCodes,UnitsPerUSD))"),1.0)</f>
        <v>1</v>
      </c>
      <c r="R489" s="17">
        <f t="shared" si="3"/>
        <v>0</v>
      </c>
    </row>
    <row r="490">
      <c r="A490" s="7">
        <v>43919.63008761574</v>
      </c>
      <c r="B490" s="18" t="s">
        <v>18</v>
      </c>
      <c r="C490" s="19">
        <v>337.0</v>
      </c>
      <c r="D490" s="18" t="s">
        <v>1813</v>
      </c>
      <c r="E490" s="18" t="s">
        <v>1814</v>
      </c>
      <c r="F490" s="18" t="s">
        <v>1756</v>
      </c>
      <c r="G490" s="9">
        <v>49036.0</v>
      </c>
      <c r="H490" s="21" t="s">
        <v>1173</v>
      </c>
      <c r="I490" s="21" t="s">
        <v>39</v>
      </c>
      <c r="J490" s="11">
        <v>127587.0</v>
      </c>
      <c r="K490" s="21" t="s">
        <v>25</v>
      </c>
      <c r="L490" s="25">
        <v>43455.0</v>
      </c>
      <c r="M490" s="14" t="s">
        <v>1815</v>
      </c>
      <c r="N490" s="10"/>
      <c r="O490" s="15">
        <f t="shared" si="1"/>
        <v>2018</v>
      </c>
      <c r="P490" s="16" t="str">
        <f t="shared" si="2"/>
        <v>USD</v>
      </c>
      <c r="Q490" s="15">
        <f>IFERROR(__xludf.DUMMYFUNCTION("IFNA(INDEX(GOOGLEFINANCE(""Currency:USD""&amp;$P490,""price"",DATE(YEAR($L490),MONTH($L490),DAY($L490))),2,2),LOOKUP(P490,CurrencyCodes,UnitsPerUSD))"),1.0)</f>
        <v>1</v>
      </c>
      <c r="R490" s="17">
        <f t="shared" si="3"/>
        <v>127587</v>
      </c>
    </row>
    <row r="491">
      <c r="A491" s="7">
        <v>43929.20556232639</v>
      </c>
      <c r="B491" s="18" t="s">
        <v>18</v>
      </c>
      <c r="C491" s="19">
        <v>53.0</v>
      </c>
      <c r="D491" s="18" t="s">
        <v>225</v>
      </c>
      <c r="E491" s="18" t="s">
        <v>1816</v>
      </c>
      <c r="F491" s="18" t="s">
        <v>1756</v>
      </c>
      <c r="G491" s="19">
        <v>49036.0</v>
      </c>
      <c r="H491" s="21" t="s">
        <v>1173</v>
      </c>
      <c r="I491" s="21" t="s">
        <v>39</v>
      </c>
      <c r="J491" s="11">
        <v>0.0</v>
      </c>
      <c r="K491" s="27" t="s">
        <v>25</v>
      </c>
      <c r="L491" s="22"/>
      <c r="M491" s="21"/>
      <c r="N491" s="27" t="s">
        <v>1817</v>
      </c>
      <c r="O491" s="15" t="str">
        <f t="shared" si="1"/>
        <v>Unknown</v>
      </c>
      <c r="P491" s="16" t="str">
        <f t="shared" si="2"/>
        <v>USD</v>
      </c>
      <c r="Q491" s="15">
        <f>IFERROR(__xludf.DUMMYFUNCTION("IFNA(INDEX(GOOGLEFINANCE(""Currency:USD""&amp;$P491,""price"",DATE(YEAR($L491),MONTH($L491),DAY($L491))),2,2),LOOKUP(P491,CurrencyCodes,UnitsPerUSD))"),1.0)</f>
        <v>1</v>
      </c>
      <c r="R491" s="17">
        <f t="shared" si="3"/>
        <v>0</v>
      </c>
    </row>
    <row r="492">
      <c r="A492" s="7">
        <v>43919.62973292824</v>
      </c>
      <c r="B492" s="18" t="s">
        <v>18</v>
      </c>
      <c r="C492" s="19">
        <v>3231.0</v>
      </c>
      <c r="D492" s="18" t="s">
        <v>1818</v>
      </c>
      <c r="E492" s="18" t="s">
        <v>1819</v>
      </c>
      <c r="F492" s="18" t="s">
        <v>1756</v>
      </c>
      <c r="G492" s="19">
        <v>49038.0</v>
      </c>
      <c r="H492" s="21" t="s">
        <v>1173</v>
      </c>
      <c r="I492" s="21" t="s">
        <v>39</v>
      </c>
      <c r="J492" s="11">
        <v>175000.0</v>
      </c>
      <c r="K492" s="21" t="s">
        <v>25</v>
      </c>
      <c r="L492" s="25">
        <v>43721.0</v>
      </c>
      <c r="M492" s="28" t="s">
        <v>1820</v>
      </c>
      <c r="N492" s="27" t="s">
        <v>1821</v>
      </c>
      <c r="O492" s="15">
        <f t="shared" si="1"/>
        <v>2019</v>
      </c>
      <c r="P492" s="16" t="str">
        <f t="shared" si="2"/>
        <v>USD</v>
      </c>
      <c r="Q492" s="15">
        <f>IFERROR(__xludf.DUMMYFUNCTION("IFNA(INDEX(GOOGLEFINANCE(""Currency:USD""&amp;$P492,""price"",DATE(YEAR($L492),MONTH($L492),DAY($L492))),2,2),LOOKUP(P492,CurrencyCodes,UnitsPerUSD))"),1.0)</f>
        <v>1</v>
      </c>
      <c r="R492" s="17">
        <f t="shared" si="3"/>
        <v>175000</v>
      </c>
    </row>
    <row r="493">
      <c r="A493" s="7">
        <v>44060.89172359953</v>
      </c>
      <c r="B493" s="8" t="s">
        <v>18</v>
      </c>
      <c r="C493" s="9" t="s">
        <v>1822</v>
      </c>
      <c r="D493" s="8" t="s">
        <v>1823</v>
      </c>
      <c r="E493" s="8" t="s">
        <v>1824</v>
      </c>
      <c r="F493" s="8" t="s">
        <v>1756</v>
      </c>
      <c r="G493" s="9">
        <v>49738.0</v>
      </c>
      <c r="H493" s="10" t="s">
        <v>1173</v>
      </c>
      <c r="I493" s="10" t="s">
        <v>24</v>
      </c>
      <c r="J493" s="11">
        <v>0.0</v>
      </c>
      <c r="K493" s="12" t="s">
        <v>25</v>
      </c>
      <c r="L493" s="13"/>
      <c r="M493" s="10"/>
      <c r="N493" s="10"/>
      <c r="O493" s="15" t="str">
        <f t="shared" si="1"/>
        <v>Unknown</v>
      </c>
      <c r="P493" s="16" t="str">
        <f t="shared" si="2"/>
        <v>USD</v>
      </c>
      <c r="Q493" s="15">
        <f>IFERROR(__xludf.DUMMYFUNCTION("IFNA(INDEX(GOOGLEFINANCE(""Currency:USD""&amp;$P493,""price"",DATE(YEAR($L493),MONTH($L493),DAY($L493))),2,2),LOOKUP(P493,CurrencyCodes,UnitsPerUSD))"),1.0)</f>
        <v>1</v>
      </c>
      <c r="R493" s="17">
        <f t="shared" si="3"/>
        <v>0</v>
      </c>
    </row>
    <row r="494">
      <c r="A494" s="7">
        <v>43929.210922557875</v>
      </c>
      <c r="B494" s="18" t="s">
        <v>18</v>
      </c>
      <c r="C494" s="19">
        <v>7184.0</v>
      </c>
      <c r="D494" s="18" t="s">
        <v>1825</v>
      </c>
      <c r="E494" s="18" t="s">
        <v>1826</v>
      </c>
      <c r="F494" s="18" t="s">
        <v>1756</v>
      </c>
      <c r="G494" s="9">
        <v>48423.0</v>
      </c>
      <c r="H494" s="21" t="s">
        <v>1173</v>
      </c>
      <c r="I494" s="21" t="s">
        <v>39</v>
      </c>
      <c r="J494" s="11">
        <v>149000.0</v>
      </c>
      <c r="K494" s="21" t="s">
        <v>25</v>
      </c>
      <c r="L494" s="25">
        <v>43627.0</v>
      </c>
      <c r="M494" s="24" t="s">
        <v>1827</v>
      </c>
      <c r="N494" s="10" t="s">
        <v>1828</v>
      </c>
      <c r="O494" s="15">
        <f t="shared" si="1"/>
        <v>2019</v>
      </c>
      <c r="P494" s="16" t="str">
        <f t="shared" si="2"/>
        <v>USD</v>
      </c>
      <c r="Q494" s="15">
        <f>IFERROR(__xludf.DUMMYFUNCTION("IFNA(INDEX(GOOGLEFINANCE(""Currency:USD""&amp;$P494,""price"",DATE(YEAR($L494),MONTH($L494),DAY($L494))),2,2),LOOKUP(P494,CurrencyCodes,UnitsPerUSD))"),1.0)</f>
        <v>1</v>
      </c>
      <c r="R494" s="17">
        <f t="shared" si="3"/>
        <v>149000</v>
      </c>
    </row>
    <row r="495">
      <c r="A495" s="7">
        <v>43929.23710096064</v>
      </c>
      <c r="B495" s="18" t="s">
        <v>18</v>
      </c>
      <c r="C495" s="19">
        <v>8805.0</v>
      </c>
      <c r="D495" s="18" t="s">
        <v>1829</v>
      </c>
      <c r="E495" s="18" t="s">
        <v>1830</v>
      </c>
      <c r="F495" s="18" t="s">
        <v>1756</v>
      </c>
      <c r="G495" s="19">
        <v>48126.0</v>
      </c>
      <c r="H495" s="21" t="s">
        <v>1173</v>
      </c>
      <c r="I495" s="21" t="s">
        <v>39</v>
      </c>
      <c r="J495" s="11">
        <v>170000.0</v>
      </c>
      <c r="K495" s="21" t="s">
        <v>25</v>
      </c>
      <c r="L495" s="25">
        <v>43273.0</v>
      </c>
      <c r="M495" s="31" t="s">
        <v>1831</v>
      </c>
      <c r="N495" s="10"/>
      <c r="O495" s="15">
        <f t="shared" si="1"/>
        <v>2018</v>
      </c>
      <c r="P495" s="16" t="str">
        <f t="shared" si="2"/>
        <v>USD</v>
      </c>
      <c r="Q495" s="15">
        <f>IFERROR(__xludf.DUMMYFUNCTION("IFNA(INDEX(GOOGLEFINANCE(""Currency:USD""&amp;$P495,""price"",DATE(YEAR($L495),MONTH($L495),DAY($L495))),2,2),LOOKUP(P495,CurrencyCodes,UnitsPerUSD))"),1.0)</f>
        <v>1</v>
      </c>
      <c r="R495" s="17">
        <f t="shared" si="3"/>
        <v>170000</v>
      </c>
    </row>
    <row r="496">
      <c r="A496" s="7">
        <v>43930.002171678236</v>
      </c>
      <c r="B496" s="18" t="s">
        <v>18</v>
      </c>
      <c r="C496" s="19">
        <v>17950.0</v>
      </c>
      <c r="D496" s="18" t="s">
        <v>1832</v>
      </c>
      <c r="E496" s="18" t="s">
        <v>1833</v>
      </c>
      <c r="F496" s="18" t="s">
        <v>1756</v>
      </c>
      <c r="G496" s="19">
        <v>48212.0</v>
      </c>
      <c r="H496" s="21" t="s">
        <v>1173</v>
      </c>
      <c r="I496" s="21" t="s">
        <v>39</v>
      </c>
      <c r="J496" s="11">
        <v>250000.0</v>
      </c>
      <c r="K496" s="21" t="s">
        <v>25</v>
      </c>
      <c r="L496" s="25">
        <v>38189.0</v>
      </c>
      <c r="M496" s="24" t="s">
        <v>1834</v>
      </c>
      <c r="N496" s="10" t="s">
        <v>1835</v>
      </c>
      <c r="O496" s="15">
        <f t="shared" si="1"/>
        <v>2004</v>
      </c>
      <c r="P496" s="16" t="str">
        <f t="shared" si="2"/>
        <v>USD</v>
      </c>
      <c r="Q496" s="15">
        <f>IFERROR(__xludf.DUMMYFUNCTION("IFNA(INDEX(GOOGLEFINANCE(""Currency:USD""&amp;$P496,""price"",DATE(YEAR($L496),MONTH($L496),DAY($L496))),2,2),LOOKUP(P496,CurrencyCodes,UnitsPerUSD))"),1.0)</f>
        <v>1</v>
      </c>
      <c r="R496" s="17">
        <f t="shared" si="3"/>
        <v>250000</v>
      </c>
    </row>
    <row r="497">
      <c r="A497" s="7">
        <v>43930.014678356485</v>
      </c>
      <c r="B497" s="18" t="s">
        <v>18</v>
      </c>
      <c r="C497" s="9">
        <v>17600.0</v>
      </c>
      <c r="D497" s="18" t="s">
        <v>1836</v>
      </c>
      <c r="E497" s="18" t="s">
        <v>1833</v>
      </c>
      <c r="F497" s="8" t="s">
        <v>1756</v>
      </c>
      <c r="G497" s="9">
        <v>48224.0</v>
      </c>
      <c r="H497" s="21" t="s">
        <v>1173</v>
      </c>
      <c r="I497" s="21" t="s">
        <v>39</v>
      </c>
      <c r="J497" s="11">
        <v>32112.0</v>
      </c>
      <c r="K497" s="21" t="s">
        <v>25</v>
      </c>
      <c r="L497" s="25">
        <v>42293.0</v>
      </c>
      <c r="M497" s="21"/>
      <c r="N497" s="21"/>
      <c r="O497" s="15">
        <f t="shared" si="1"/>
        <v>2015</v>
      </c>
      <c r="P497" s="16" t="str">
        <f t="shared" si="2"/>
        <v>USD</v>
      </c>
      <c r="Q497" s="15">
        <f>IFERROR(__xludf.DUMMYFUNCTION("IFNA(INDEX(GOOGLEFINANCE(""Currency:USD""&amp;$P497,""price"",DATE(YEAR($L497),MONTH($L497),DAY($L497))),2,2),LOOKUP(P497,CurrencyCodes,UnitsPerUSD))"),1.0)</f>
        <v>1</v>
      </c>
      <c r="R497" s="17">
        <f t="shared" si="3"/>
        <v>32112</v>
      </c>
    </row>
    <row r="498">
      <c r="A498" s="7">
        <v>43930.02371278935</v>
      </c>
      <c r="B498" s="18" t="s">
        <v>18</v>
      </c>
      <c r="C498" s="19">
        <v>11249.0</v>
      </c>
      <c r="D498" s="18" t="s">
        <v>1837</v>
      </c>
      <c r="E498" s="18" t="s">
        <v>1833</v>
      </c>
      <c r="F498" s="18" t="s">
        <v>1756</v>
      </c>
      <c r="G498" s="19">
        <v>48234.0</v>
      </c>
      <c r="H498" s="21" t="s">
        <v>1173</v>
      </c>
      <c r="I498" s="21" t="s">
        <v>39</v>
      </c>
      <c r="J498" s="11">
        <v>0.0</v>
      </c>
      <c r="K498" s="21" t="s">
        <v>25</v>
      </c>
      <c r="L498" s="25">
        <v>40267.0</v>
      </c>
      <c r="M498" s="24" t="s">
        <v>1838</v>
      </c>
      <c r="N498" s="21" t="s">
        <v>1839</v>
      </c>
      <c r="O498" s="15">
        <f t="shared" si="1"/>
        <v>2010</v>
      </c>
      <c r="P498" s="16" t="str">
        <f t="shared" si="2"/>
        <v>USD</v>
      </c>
      <c r="Q498" s="15">
        <f>IFERROR(__xludf.DUMMYFUNCTION("IFNA(INDEX(GOOGLEFINANCE(""Currency:USD""&amp;$P498,""price"",DATE(YEAR($L498),MONTH($L498),DAY($L498))),2,2),LOOKUP(P498,CurrencyCodes,UnitsPerUSD))"),1.0)</f>
        <v>1</v>
      </c>
      <c r="R498" s="17">
        <f t="shared" si="3"/>
        <v>0</v>
      </c>
    </row>
    <row r="499">
      <c r="A499" s="7">
        <v>43930.00554626157</v>
      </c>
      <c r="B499" s="18" t="s">
        <v>18</v>
      </c>
      <c r="C499" s="19">
        <v>9300.0</v>
      </c>
      <c r="D499" s="18" t="s">
        <v>1840</v>
      </c>
      <c r="E499" s="18" t="s">
        <v>1833</v>
      </c>
      <c r="F499" s="18" t="s">
        <v>1756</v>
      </c>
      <c r="G499" s="19">
        <v>48214.0</v>
      </c>
      <c r="H499" s="21" t="s">
        <v>1173</v>
      </c>
      <c r="I499" s="21" t="s">
        <v>39</v>
      </c>
      <c r="J499" s="11">
        <v>125000.0</v>
      </c>
      <c r="K499" s="21" t="s">
        <v>25</v>
      </c>
      <c r="L499" s="25">
        <v>42304.0</v>
      </c>
      <c r="M499" s="31" t="s">
        <v>1841</v>
      </c>
      <c r="N499" s="10"/>
      <c r="O499" s="15">
        <f t="shared" si="1"/>
        <v>2015</v>
      </c>
      <c r="P499" s="16" t="str">
        <f t="shared" si="2"/>
        <v>USD</v>
      </c>
      <c r="Q499" s="15">
        <f>IFERROR(__xludf.DUMMYFUNCTION("IFNA(INDEX(GOOGLEFINANCE(""Currency:USD""&amp;$P499,""price"",DATE(YEAR($L499),MONTH($L499),DAY($L499))),2,2),LOOKUP(P499,CurrencyCodes,UnitsPerUSD))"),1.0)</f>
        <v>1</v>
      </c>
      <c r="R499" s="17">
        <f t="shared" si="3"/>
        <v>125000</v>
      </c>
    </row>
    <row r="500">
      <c r="A500" s="7">
        <v>43930.01032003472</v>
      </c>
      <c r="B500" s="18" t="s">
        <v>18</v>
      </c>
      <c r="C500" s="19">
        <v>20225.0</v>
      </c>
      <c r="D500" s="18" t="s">
        <v>1842</v>
      </c>
      <c r="E500" s="18" t="s">
        <v>1833</v>
      </c>
      <c r="F500" s="18" t="s">
        <v>1756</v>
      </c>
      <c r="G500" s="19">
        <v>48223.0</v>
      </c>
      <c r="H500" s="21" t="s">
        <v>1173</v>
      </c>
      <c r="I500" s="21" t="s">
        <v>39</v>
      </c>
      <c r="J500" s="11">
        <v>300000.0</v>
      </c>
      <c r="K500" s="21" t="s">
        <v>25</v>
      </c>
      <c r="L500" s="25">
        <v>38419.0</v>
      </c>
      <c r="M500" s="21"/>
      <c r="N500" s="10" t="s">
        <v>1843</v>
      </c>
      <c r="O500" s="15">
        <f t="shared" si="1"/>
        <v>2005</v>
      </c>
      <c r="P500" s="16" t="str">
        <f t="shared" si="2"/>
        <v>USD</v>
      </c>
      <c r="Q500" s="15">
        <f>IFERROR(__xludf.DUMMYFUNCTION("IFNA(INDEX(GOOGLEFINANCE(""Currency:USD""&amp;$P500,""price"",DATE(YEAR($L500),MONTH($L500),DAY($L500))),2,2),LOOKUP(P500,CurrencyCodes,UnitsPerUSD))"),1.0)</f>
        <v>1</v>
      </c>
      <c r="R500" s="17">
        <f t="shared" si="3"/>
        <v>300000</v>
      </c>
    </row>
    <row r="501">
      <c r="A501" s="7">
        <v>43898.514792002316</v>
      </c>
      <c r="B501" s="18" t="s">
        <v>18</v>
      </c>
      <c r="C501" s="19">
        <v>4900.0</v>
      </c>
      <c r="D501" s="18" t="s">
        <v>1844</v>
      </c>
      <c r="E501" s="18" t="s">
        <v>1833</v>
      </c>
      <c r="F501" s="18" t="s">
        <v>1756</v>
      </c>
      <c r="G501" s="19"/>
      <c r="H501" s="21" t="s">
        <v>1173</v>
      </c>
      <c r="I501" s="21" t="s">
        <v>39</v>
      </c>
      <c r="J501" s="11">
        <v>185000.0</v>
      </c>
      <c r="K501" s="21" t="s">
        <v>25</v>
      </c>
      <c r="L501" s="25">
        <v>43608.0</v>
      </c>
      <c r="M501" s="31" t="s">
        <v>1845</v>
      </c>
      <c r="N501" s="21"/>
      <c r="O501" s="15">
        <f t="shared" si="1"/>
        <v>2019</v>
      </c>
      <c r="P501" s="16" t="str">
        <f t="shared" si="2"/>
        <v>USD</v>
      </c>
      <c r="Q501" s="15">
        <f>IFERROR(__xludf.DUMMYFUNCTION("IFNA(INDEX(GOOGLEFINANCE(""Currency:USD""&amp;$P501,""price"",DATE(YEAR($L501),MONTH($L501),DAY($L501))),2,2),LOOKUP(P501,CurrencyCodes,UnitsPerUSD))"),1.0)</f>
        <v>1</v>
      </c>
      <c r="R501" s="17">
        <f t="shared" si="3"/>
        <v>185000</v>
      </c>
    </row>
    <row r="502">
      <c r="A502" s="7">
        <v>43929.25585916667</v>
      </c>
      <c r="B502" s="18" t="s">
        <v>18</v>
      </c>
      <c r="C502" s="19">
        <v>20201.0</v>
      </c>
      <c r="D502" s="18" t="s">
        <v>1846</v>
      </c>
      <c r="E502" s="18" t="s">
        <v>1833</v>
      </c>
      <c r="F502" s="18" t="s">
        <v>1756</v>
      </c>
      <c r="G502" s="19">
        <v>48203.0</v>
      </c>
      <c r="H502" s="21" t="s">
        <v>1173</v>
      </c>
      <c r="I502" s="21" t="s">
        <v>39</v>
      </c>
      <c r="J502" s="11">
        <v>0.0</v>
      </c>
      <c r="K502" s="27" t="s">
        <v>25</v>
      </c>
      <c r="L502" s="22"/>
      <c r="M502" s="10"/>
      <c r="N502" s="21" t="s">
        <v>1847</v>
      </c>
      <c r="O502" s="15" t="str">
        <f t="shared" si="1"/>
        <v>Unknown</v>
      </c>
      <c r="P502" s="16" t="str">
        <f t="shared" si="2"/>
        <v>USD</v>
      </c>
      <c r="Q502" s="15">
        <f>IFERROR(__xludf.DUMMYFUNCTION("IFNA(INDEX(GOOGLEFINANCE(""Currency:USD""&amp;$P502,""price"",DATE(YEAR($L502),MONTH($L502),DAY($L502))),2,2),LOOKUP(P502,CurrencyCodes,UnitsPerUSD))"),1.0)</f>
        <v>1</v>
      </c>
      <c r="R502" s="17">
        <f t="shared" si="3"/>
        <v>0</v>
      </c>
    </row>
    <row r="503">
      <c r="A503" s="7">
        <v>43929.27116905093</v>
      </c>
      <c r="B503" s="18" t="s">
        <v>18</v>
      </c>
      <c r="C503" s="19">
        <v>6465.0</v>
      </c>
      <c r="D503" s="18" t="s">
        <v>1848</v>
      </c>
      <c r="E503" s="18" t="s">
        <v>1833</v>
      </c>
      <c r="F503" s="18" t="s">
        <v>1756</v>
      </c>
      <c r="G503" s="19">
        <v>48207.0</v>
      </c>
      <c r="H503" s="21" t="s">
        <v>1173</v>
      </c>
      <c r="I503" s="21" t="s">
        <v>39</v>
      </c>
      <c r="J503" s="11">
        <v>0.0</v>
      </c>
      <c r="K503" s="27" t="s">
        <v>25</v>
      </c>
      <c r="L503" s="22"/>
      <c r="M503" s="21"/>
      <c r="N503" s="21" t="s">
        <v>1849</v>
      </c>
      <c r="O503" s="15" t="str">
        <f t="shared" si="1"/>
        <v>Unknown</v>
      </c>
      <c r="P503" s="16" t="str">
        <f t="shared" si="2"/>
        <v>USD</v>
      </c>
      <c r="Q503" s="15">
        <f>IFERROR(__xludf.DUMMYFUNCTION("IFNA(INDEX(GOOGLEFINANCE(""Currency:USD""&amp;$P503,""price"",DATE(YEAR($L503),MONTH($L503),DAY($L503))),2,2),LOOKUP(P503,CurrencyCodes,UnitsPerUSD))"),1.0)</f>
        <v>1</v>
      </c>
      <c r="R503" s="17">
        <f t="shared" si="3"/>
        <v>0</v>
      </c>
    </row>
    <row r="504">
      <c r="A504" s="7">
        <v>43930.017077094904</v>
      </c>
      <c r="B504" s="18" t="s">
        <v>18</v>
      </c>
      <c r="C504" s="19">
        <v>13201.0</v>
      </c>
      <c r="D504" s="18" t="s">
        <v>1850</v>
      </c>
      <c r="E504" s="18" t="s">
        <v>1833</v>
      </c>
      <c r="F504" s="18" t="s">
        <v>1756</v>
      </c>
      <c r="G504" s="19">
        <v>48227.0</v>
      </c>
      <c r="H504" s="21" t="s">
        <v>1173</v>
      </c>
      <c r="I504" s="21" t="s">
        <v>39</v>
      </c>
      <c r="J504" s="11">
        <v>170000.0</v>
      </c>
      <c r="K504" s="21" t="s">
        <v>25</v>
      </c>
      <c r="L504" s="25">
        <v>41138.0</v>
      </c>
      <c r="M504" s="21"/>
      <c r="N504" s="21" t="s">
        <v>1851</v>
      </c>
      <c r="O504" s="15">
        <f t="shared" si="1"/>
        <v>2012</v>
      </c>
      <c r="P504" s="16" t="str">
        <f t="shared" si="2"/>
        <v>USD</v>
      </c>
      <c r="Q504" s="15">
        <f>IFERROR(__xludf.DUMMYFUNCTION("IFNA(INDEX(GOOGLEFINANCE(""Currency:USD""&amp;$P504,""price"",DATE(YEAR($L504),MONTH($L504),DAY($L504))),2,2),LOOKUP(P504,CurrencyCodes,UnitsPerUSD))"),1.0)</f>
        <v>1</v>
      </c>
      <c r="R504" s="17">
        <f t="shared" si="3"/>
        <v>170000</v>
      </c>
    </row>
    <row r="505">
      <c r="A505" s="7">
        <v>43930.01983539352</v>
      </c>
      <c r="B505" s="18" t="s">
        <v>18</v>
      </c>
      <c r="C505" s="19">
        <v>14100.0</v>
      </c>
      <c r="D505" s="18" t="s">
        <v>1852</v>
      </c>
      <c r="E505" s="18" t="s">
        <v>1833</v>
      </c>
      <c r="F505" s="18" t="s">
        <v>1756</v>
      </c>
      <c r="G505" s="19">
        <v>48227.0</v>
      </c>
      <c r="H505" s="21" t="s">
        <v>1173</v>
      </c>
      <c r="I505" s="21" t="s">
        <v>39</v>
      </c>
      <c r="J505" s="11">
        <v>169000.0</v>
      </c>
      <c r="K505" s="21" t="s">
        <v>25</v>
      </c>
      <c r="L505" s="25">
        <v>43717.0</v>
      </c>
      <c r="M505" s="14" t="s">
        <v>1853</v>
      </c>
      <c r="N505" s="21"/>
      <c r="O505" s="15">
        <f t="shared" si="1"/>
        <v>2019</v>
      </c>
      <c r="P505" s="16" t="str">
        <f t="shared" si="2"/>
        <v>USD</v>
      </c>
      <c r="Q505" s="15">
        <f>IFERROR(__xludf.DUMMYFUNCTION("IFNA(INDEX(GOOGLEFINANCE(""Currency:USD""&amp;$P505,""price"",DATE(YEAR($L505),MONTH($L505),DAY($L505))),2,2),LOOKUP(P505,CurrencyCodes,UnitsPerUSD))"),1.0)</f>
        <v>1</v>
      </c>
      <c r="R505" s="17">
        <f t="shared" si="3"/>
        <v>169000</v>
      </c>
    </row>
    <row r="506">
      <c r="A506" s="7">
        <v>43929.980791793976</v>
      </c>
      <c r="B506" s="18" t="s">
        <v>18</v>
      </c>
      <c r="C506" s="19">
        <v>5220.0</v>
      </c>
      <c r="D506" s="18" t="s">
        <v>1854</v>
      </c>
      <c r="E506" s="18" t="s">
        <v>1833</v>
      </c>
      <c r="F506" s="18" t="s">
        <v>1756</v>
      </c>
      <c r="G506" s="19">
        <v>48208.0</v>
      </c>
      <c r="H506" s="21" t="s">
        <v>1173</v>
      </c>
      <c r="I506" s="21" t="s">
        <v>39</v>
      </c>
      <c r="J506" s="11">
        <v>200000.0</v>
      </c>
      <c r="K506" s="21" t="s">
        <v>25</v>
      </c>
      <c r="L506" s="25">
        <v>39226.0</v>
      </c>
      <c r="M506" s="31" t="s">
        <v>1855</v>
      </c>
      <c r="N506" s="10"/>
      <c r="O506" s="15">
        <f t="shared" si="1"/>
        <v>2007</v>
      </c>
      <c r="P506" s="16" t="str">
        <f t="shared" si="2"/>
        <v>USD</v>
      </c>
      <c r="Q506" s="15">
        <f>IFERROR(__xludf.DUMMYFUNCTION("IFNA(INDEX(GOOGLEFINANCE(""Currency:USD""&amp;$P506,""price"",DATE(YEAR($L506),MONTH($L506),DAY($L506))),2,2),LOOKUP(P506,CurrencyCodes,UnitsPerUSD))"),1.0)</f>
        <v>1</v>
      </c>
      <c r="R506" s="17">
        <f t="shared" si="3"/>
        <v>200000</v>
      </c>
    </row>
    <row r="507">
      <c r="A507" s="7">
        <v>43929.98341508102</v>
      </c>
      <c r="B507" s="18" t="s">
        <v>18</v>
      </c>
      <c r="C507" s="19">
        <v>5933.0</v>
      </c>
      <c r="D507" s="18" t="s">
        <v>1856</v>
      </c>
      <c r="E507" s="18" t="s">
        <v>1857</v>
      </c>
      <c r="F507" s="18" t="s">
        <v>1756</v>
      </c>
      <c r="G507" s="19">
        <v>48208.0</v>
      </c>
      <c r="H507" s="21" t="s">
        <v>1173</v>
      </c>
      <c r="I507" s="21" t="s">
        <v>39</v>
      </c>
      <c r="J507" s="11">
        <v>250000.0</v>
      </c>
      <c r="K507" s="21" t="s">
        <v>25</v>
      </c>
      <c r="L507" s="25">
        <v>39800.0</v>
      </c>
      <c r="M507" s="28" t="s">
        <v>1858</v>
      </c>
      <c r="N507" s="10" t="s">
        <v>1859</v>
      </c>
      <c r="O507" s="15">
        <f t="shared" si="1"/>
        <v>2008</v>
      </c>
      <c r="P507" s="16" t="str">
        <f t="shared" si="2"/>
        <v>USD</v>
      </c>
      <c r="Q507" s="15">
        <f>IFERROR(__xludf.DUMMYFUNCTION("IFNA(INDEX(GOOGLEFINANCE(""Currency:USD""&amp;$P507,""price"",DATE(YEAR($L507),MONTH($L507),DAY($L507))),2,2),LOOKUP(P507,CurrencyCodes,UnitsPerUSD))"),1.0)</f>
        <v>1</v>
      </c>
      <c r="R507" s="17">
        <f t="shared" si="3"/>
        <v>250000</v>
      </c>
    </row>
    <row r="508">
      <c r="A508" s="7">
        <v>43931.55454211806</v>
      </c>
      <c r="B508" s="18" t="s">
        <v>18</v>
      </c>
      <c r="C508" s="19">
        <v>12601.0</v>
      </c>
      <c r="D508" s="18" t="s">
        <v>1860</v>
      </c>
      <c r="E508" s="18" t="s">
        <v>1857</v>
      </c>
      <c r="F508" s="18" t="s">
        <v>1756</v>
      </c>
      <c r="G508" s="19">
        <v>48215.0</v>
      </c>
      <c r="H508" s="21" t="s">
        <v>1173</v>
      </c>
      <c r="I508" s="21" t="s">
        <v>39</v>
      </c>
      <c r="J508" s="11">
        <v>120000.0</v>
      </c>
      <c r="K508" s="21" t="s">
        <v>25</v>
      </c>
      <c r="L508" s="25">
        <v>41809.0</v>
      </c>
      <c r="M508" s="24" t="s">
        <v>1861</v>
      </c>
      <c r="N508" s="27" t="s">
        <v>1862</v>
      </c>
      <c r="O508" s="15">
        <f t="shared" si="1"/>
        <v>2014</v>
      </c>
      <c r="P508" s="16" t="str">
        <f t="shared" si="2"/>
        <v>USD</v>
      </c>
      <c r="Q508" s="15">
        <f>IFERROR(__xludf.DUMMYFUNCTION("IFNA(INDEX(GOOGLEFINANCE(""Currency:USD""&amp;$P508,""price"",DATE(YEAR($L508),MONTH($L508),DAY($L508))),2,2),LOOKUP(P508,CurrencyCodes,UnitsPerUSD))"),1.0)</f>
        <v>1</v>
      </c>
      <c r="R508" s="17">
        <f t="shared" si="3"/>
        <v>120000</v>
      </c>
    </row>
    <row r="509">
      <c r="A509" s="7">
        <v>43930.03726496528</v>
      </c>
      <c r="B509" s="18" t="s">
        <v>18</v>
      </c>
      <c r="C509" s="19">
        <v>10700.0</v>
      </c>
      <c r="D509" s="18" t="s">
        <v>1852</v>
      </c>
      <c r="E509" s="18" t="s">
        <v>1857</v>
      </c>
      <c r="F509" s="18" t="s">
        <v>1756</v>
      </c>
      <c r="G509" s="9">
        <v>48238.0</v>
      </c>
      <c r="H509" s="21" t="s">
        <v>1173</v>
      </c>
      <c r="I509" s="21" t="s">
        <v>39</v>
      </c>
      <c r="J509" s="11">
        <v>140000.0</v>
      </c>
      <c r="K509" s="21" t="s">
        <v>25</v>
      </c>
      <c r="L509" s="25">
        <v>43157.0</v>
      </c>
      <c r="M509" s="24" t="s">
        <v>1863</v>
      </c>
      <c r="N509" s="21" t="s">
        <v>1864</v>
      </c>
      <c r="O509" s="15">
        <f t="shared" si="1"/>
        <v>2018</v>
      </c>
      <c r="P509" s="16" t="str">
        <f t="shared" si="2"/>
        <v>USD</v>
      </c>
      <c r="Q509" s="15">
        <f>IFERROR(__xludf.DUMMYFUNCTION("IFNA(INDEX(GOOGLEFINANCE(""Currency:USD""&amp;$P509,""price"",DATE(YEAR($L509),MONTH($L509),DAY($L509))),2,2),LOOKUP(P509,CurrencyCodes,UnitsPerUSD))"),1.0)</f>
        <v>1</v>
      </c>
      <c r="R509" s="17">
        <f t="shared" si="3"/>
        <v>140000</v>
      </c>
    </row>
    <row r="510">
      <c r="A510" s="7">
        <v>43919.634296550925</v>
      </c>
      <c r="B510" s="18" t="s">
        <v>18</v>
      </c>
      <c r="C510" s="19">
        <v>9754.0</v>
      </c>
      <c r="D510" s="18" t="s">
        <v>1865</v>
      </c>
      <c r="E510" s="18" t="s">
        <v>1866</v>
      </c>
      <c r="F510" s="18" t="s">
        <v>1756</v>
      </c>
      <c r="G510" s="19">
        <v>48429.0</v>
      </c>
      <c r="H510" s="21" t="s">
        <v>1173</v>
      </c>
      <c r="I510" s="21" t="s">
        <v>39</v>
      </c>
      <c r="J510" s="11">
        <v>70000.0</v>
      </c>
      <c r="K510" s="21" t="s">
        <v>25</v>
      </c>
      <c r="L510" s="25">
        <v>43613.0</v>
      </c>
      <c r="M510" s="31" t="s">
        <v>1867</v>
      </c>
      <c r="N510" s="10"/>
      <c r="O510" s="15">
        <f t="shared" si="1"/>
        <v>2019</v>
      </c>
      <c r="P510" s="16" t="str">
        <f t="shared" si="2"/>
        <v>USD</v>
      </c>
      <c r="Q510" s="15">
        <f>IFERROR(__xludf.DUMMYFUNCTION("IFNA(INDEX(GOOGLEFINANCE(""Currency:USD""&amp;$P510,""price"",DATE(YEAR($L510),MONTH($L510),DAY($L510))),2,2),LOOKUP(P510,CurrencyCodes,UnitsPerUSD))"),1.0)</f>
        <v>1</v>
      </c>
      <c r="R510" s="17">
        <f t="shared" si="3"/>
        <v>70000</v>
      </c>
    </row>
    <row r="511">
      <c r="A511" s="7">
        <v>43919.629372256946</v>
      </c>
      <c r="B511" s="8" t="s">
        <v>18</v>
      </c>
      <c r="C511" s="9">
        <v>8972.0</v>
      </c>
      <c r="D511" s="8" t="s">
        <v>1868</v>
      </c>
      <c r="E511" s="8" t="s">
        <v>1869</v>
      </c>
      <c r="F511" s="8" t="s">
        <v>1756</v>
      </c>
      <c r="G511" s="9">
        <v>48827.0</v>
      </c>
      <c r="H511" s="10" t="s">
        <v>1173</v>
      </c>
      <c r="I511" s="10" t="s">
        <v>39</v>
      </c>
      <c r="J511" s="11">
        <v>200000.0</v>
      </c>
      <c r="K511" s="10" t="s">
        <v>25</v>
      </c>
      <c r="L511" s="25">
        <v>43732.0</v>
      </c>
      <c r="M511" s="14" t="s">
        <v>1870</v>
      </c>
      <c r="N511" s="10"/>
      <c r="O511" s="15">
        <f t="shared" si="1"/>
        <v>2019</v>
      </c>
      <c r="P511" s="16" t="str">
        <f t="shared" si="2"/>
        <v>USD</v>
      </c>
      <c r="Q511" s="15">
        <f>IFERROR(__xludf.DUMMYFUNCTION("IFNA(INDEX(GOOGLEFINANCE(""Currency:USD""&amp;$P511,""price"",DATE(YEAR($L511),MONTH($L511),DAY($L511))),2,2),LOOKUP(P511,CurrencyCodes,UnitsPerUSD))"),1.0)</f>
        <v>1</v>
      </c>
      <c r="R511" s="17">
        <f t="shared" si="3"/>
        <v>200000</v>
      </c>
    </row>
    <row r="512">
      <c r="A512" s="7">
        <v>44005.11108805556</v>
      </c>
      <c r="B512" s="18" t="s">
        <v>18</v>
      </c>
      <c r="C512" s="9">
        <v>26170.0</v>
      </c>
      <c r="D512" s="18" t="s">
        <v>1871</v>
      </c>
      <c r="E512" s="18" t="s">
        <v>1872</v>
      </c>
      <c r="F512" s="18" t="s">
        <v>1756</v>
      </c>
      <c r="G512" s="19">
        <v>48134.0</v>
      </c>
      <c r="H512" s="21" t="s">
        <v>1173</v>
      </c>
      <c r="I512" s="21" t="s">
        <v>39</v>
      </c>
      <c r="J512" s="11">
        <v>280000.0</v>
      </c>
      <c r="K512" s="21" t="s">
        <v>25</v>
      </c>
      <c r="L512" s="25">
        <v>39181.0</v>
      </c>
      <c r="M512" s="24" t="s">
        <v>1873</v>
      </c>
      <c r="N512" s="27" t="s">
        <v>1874</v>
      </c>
      <c r="O512" s="15">
        <f t="shared" si="1"/>
        <v>2007</v>
      </c>
      <c r="P512" s="16" t="str">
        <f t="shared" si="2"/>
        <v>USD</v>
      </c>
      <c r="Q512" s="15">
        <f>IFERROR(__xludf.DUMMYFUNCTION("IFNA(INDEX(GOOGLEFINANCE(""Currency:USD""&amp;$P512,""price"",DATE(YEAR($L512),MONTH($L512),DAY($L512))),2,2),LOOKUP(P512,CurrencyCodes,UnitsPerUSD))"),1.0)</f>
        <v>1</v>
      </c>
      <c r="R512" s="17">
        <f t="shared" si="3"/>
        <v>280000</v>
      </c>
    </row>
    <row r="513">
      <c r="A513" s="7">
        <v>44005.16336017361</v>
      </c>
      <c r="B513" s="18" t="s">
        <v>18</v>
      </c>
      <c r="C513" s="19">
        <v>5149.0</v>
      </c>
      <c r="D513" s="18" t="s">
        <v>1875</v>
      </c>
      <c r="E513" s="18" t="s">
        <v>1876</v>
      </c>
      <c r="F513" s="18" t="s">
        <v>1756</v>
      </c>
      <c r="G513" s="19">
        <v>48505.0</v>
      </c>
      <c r="H513" s="21" t="s">
        <v>1173</v>
      </c>
      <c r="I513" s="21" t="s">
        <v>39</v>
      </c>
      <c r="J513" s="11">
        <v>27000.0</v>
      </c>
      <c r="K513" s="21" t="s">
        <v>25</v>
      </c>
      <c r="L513" s="25">
        <v>37840.0</v>
      </c>
      <c r="M513" s="24" t="s">
        <v>1877</v>
      </c>
      <c r="N513" s="27" t="s">
        <v>1878</v>
      </c>
      <c r="O513" s="15">
        <f t="shared" si="1"/>
        <v>2003</v>
      </c>
      <c r="P513" s="16" t="str">
        <f t="shared" si="2"/>
        <v>USD</v>
      </c>
      <c r="Q513" s="15">
        <f>IFERROR(__xludf.DUMMYFUNCTION("IFNA(INDEX(GOOGLEFINANCE(""Currency:USD""&amp;$P513,""price"",DATE(YEAR($L513),MONTH($L513),DAY($L513))),2,2),LOOKUP(P513,CurrencyCodes,UnitsPerUSD))"),1.0)</f>
        <v>1</v>
      </c>
      <c r="R513" s="17">
        <f t="shared" si="3"/>
        <v>27000</v>
      </c>
    </row>
    <row r="514">
      <c r="A514" s="7">
        <v>44005.164275324074</v>
      </c>
      <c r="B514" s="18" t="s">
        <v>18</v>
      </c>
      <c r="C514" s="9">
        <v>4506.0</v>
      </c>
      <c r="D514" s="18" t="s">
        <v>1879</v>
      </c>
      <c r="E514" s="18" t="s">
        <v>1876</v>
      </c>
      <c r="F514" s="8" t="s">
        <v>1756</v>
      </c>
      <c r="G514" s="19">
        <v>48507.0</v>
      </c>
      <c r="H514" s="21" t="s">
        <v>1173</v>
      </c>
      <c r="I514" s="21" t="s">
        <v>39</v>
      </c>
      <c r="J514" s="11">
        <v>0.0</v>
      </c>
      <c r="K514" s="27" t="s">
        <v>25</v>
      </c>
      <c r="L514" s="22"/>
      <c r="M514" s="21"/>
      <c r="N514" s="21" t="s">
        <v>1880</v>
      </c>
      <c r="O514" s="15" t="str">
        <f t="shared" si="1"/>
        <v>Unknown</v>
      </c>
      <c r="P514" s="16" t="str">
        <f t="shared" si="2"/>
        <v>USD</v>
      </c>
      <c r="Q514" s="15">
        <f>IFERROR(__xludf.DUMMYFUNCTION("IFNA(INDEX(GOOGLEFINANCE(""Currency:USD""&amp;$P514,""price"",DATE(YEAR($L514),MONTH($L514),DAY($L514))),2,2),LOOKUP(P514,CurrencyCodes,UnitsPerUSD))"),1.0)</f>
        <v>1</v>
      </c>
      <c r="R514" s="17">
        <f t="shared" si="3"/>
        <v>0</v>
      </c>
    </row>
    <row r="515">
      <c r="A515" s="7">
        <v>43904.82790512731</v>
      </c>
      <c r="B515" s="18" t="s">
        <v>18</v>
      </c>
      <c r="C515" s="19">
        <v>1805.0</v>
      </c>
      <c r="D515" s="18" t="s">
        <v>1881</v>
      </c>
      <c r="E515" s="18" t="s">
        <v>1876</v>
      </c>
      <c r="F515" s="18" t="s">
        <v>1756</v>
      </c>
      <c r="G515" s="19">
        <v>48503.0</v>
      </c>
      <c r="H515" s="21" t="s">
        <v>1173</v>
      </c>
      <c r="I515" s="21" t="s">
        <v>39</v>
      </c>
      <c r="J515" s="11">
        <v>0.0</v>
      </c>
      <c r="K515" s="27" t="s">
        <v>25</v>
      </c>
      <c r="L515" s="22"/>
      <c r="M515" s="21"/>
      <c r="N515" s="21"/>
      <c r="O515" s="15" t="str">
        <f t="shared" si="1"/>
        <v>Unknown</v>
      </c>
      <c r="P515" s="16" t="str">
        <f t="shared" si="2"/>
        <v>USD</v>
      </c>
      <c r="Q515" s="15">
        <f>IFERROR(__xludf.DUMMYFUNCTION("IFNA(INDEX(GOOGLEFINANCE(""Currency:USD""&amp;$P515,""price"",DATE(YEAR($L515),MONTH($L515),DAY($L515))),2,2),LOOKUP(P515,CurrencyCodes,UnitsPerUSD))"),1.0)</f>
        <v>1</v>
      </c>
      <c r="R515" s="17">
        <f t="shared" si="3"/>
        <v>0</v>
      </c>
    </row>
    <row r="516">
      <c r="A516" s="7">
        <v>44005.16549046296</v>
      </c>
      <c r="B516" s="18" t="s">
        <v>18</v>
      </c>
      <c r="C516" s="9">
        <v>8041.0</v>
      </c>
      <c r="D516" s="8" t="s">
        <v>1882</v>
      </c>
      <c r="E516" s="8" t="s">
        <v>1883</v>
      </c>
      <c r="F516" s="18" t="s">
        <v>1756</v>
      </c>
      <c r="G516" s="9">
        <v>48433.0</v>
      </c>
      <c r="H516" s="21" t="s">
        <v>1173</v>
      </c>
      <c r="I516" s="21" t="s">
        <v>39</v>
      </c>
      <c r="J516" s="11">
        <v>0.0</v>
      </c>
      <c r="K516" s="27" t="s">
        <v>25</v>
      </c>
      <c r="L516" s="22"/>
      <c r="M516" s="10"/>
      <c r="N516" s="12" t="s">
        <v>1884</v>
      </c>
      <c r="O516" s="15" t="str">
        <f t="shared" si="1"/>
        <v>Unknown</v>
      </c>
      <c r="P516" s="16" t="str">
        <f t="shared" si="2"/>
        <v>USD</v>
      </c>
      <c r="Q516" s="15">
        <f>IFERROR(__xludf.DUMMYFUNCTION("IFNA(INDEX(GOOGLEFINANCE(""Currency:USD""&amp;$P516,""price"",DATE(YEAR($L516),MONTH($L516),DAY($L516))),2,2),LOOKUP(P516,CurrencyCodes,UnitsPerUSD))"),1.0)</f>
        <v>1</v>
      </c>
      <c r="R516" s="17">
        <f t="shared" si="3"/>
        <v>0</v>
      </c>
    </row>
    <row r="517">
      <c r="A517" s="7">
        <v>44005.166751446755</v>
      </c>
      <c r="B517" s="18" t="s">
        <v>18</v>
      </c>
      <c r="C517" s="19">
        <v>4040.0</v>
      </c>
      <c r="D517" s="18" t="s">
        <v>1885</v>
      </c>
      <c r="E517" s="18" t="s">
        <v>1886</v>
      </c>
      <c r="F517" s="18" t="s">
        <v>1756</v>
      </c>
      <c r="G517" s="19">
        <v>49412.0</v>
      </c>
      <c r="H517" s="21" t="s">
        <v>1173</v>
      </c>
      <c r="I517" s="21" t="s">
        <v>39</v>
      </c>
      <c r="J517" s="11">
        <v>110000.0</v>
      </c>
      <c r="K517" s="21" t="s">
        <v>25</v>
      </c>
      <c r="L517" s="25">
        <v>41596.0</v>
      </c>
      <c r="M517" s="31" t="s">
        <v>1887</v>
      </c>
      <c r="N517" s="21"/>
      <c r="O517" s="15">
        <f t="shared" si="1"/>
        <v>2013</v>
      </c>
      <c r="P517" s="16" t="str">
        <f t="shared" si="2"/>
        <v>USD</v>
      </c>
      <c r="Q517" s="15">
        <f>IFERROR(__xludf.DUMMYFUNCTION("IFNA(INDEX(GOOGLEFINANCE(""Currency:USD""&amp;$P517,""price"",DATE(YEAR($L517),MONTH($L517),DAY($L517))),2,2),LOOKUP(P517,CurrencyCodes,UnitsPerUSD))"),1.0)</f>
        <v>1</v>
      </c>
      <c r="R517" s="17">
        <f t="shared" si="3"/>
        <v>110000</v>
      </c>
    </row>
    <row r="518">
      <c r="A518" s="7">
        <v>44005.173372986115</v>
      </c>
      <c r="B518" s="8" t="s">
        <v>18</v>
      </c>
      <c r="C518" s="9">
        <v>16175.0</v>
      </c>
      <c r="D518" s="8" t="s">
        <v>1888</v>
      </c>
      <c r="E518" s="8" t="s">
        <v>1889</v>
      </c>
      <c r="F518" s="8" t="s">
        <v>1756</v>
      </c>
      <c r="G518" s="9">
        <v>49417.0</v>
      </c>
      <c r="H518" s="10" t="s">
        <v>1173</v>
      </c>
      <c r="I518" s="10" t="s">
        <v>39</v>
      </c>
      <c r="J518" s="11">
        <v>0.0</v>
      </c>
      <c r="K518" s="12" t="s">
        <v>25</v>
      </c>
      <c r="L518" s="22"/>
      <c r="M518" s="10"/>
      <c r="N518" s="12" t="s">
        <v>1890</v>
      </c>
      <c r="O518" s="15" t="str">
        <f t="shared" si="1"/>
        <v>Unknown</v>
      </c>
      <c r="P518" s="16" t="str">
        <f t="shared" si="2"/>
        <v>USD</v>
      </c>
      <c r="Q518" s="15">
        <f>IFERROR(__xludf.DUMMYFUNCTION("IFNA(INDEX(GOOGLEFINANCE(""Currency:USD""&amp;$P518,""price"",DATE(YEAR($L518),MONTH($L518),DAY($L518))),2,2),LOOKUP(P518,CurrencyCodes,UnitsPerUSD))"),1.0)</f>
        <v>1</v>
      </c>
      <c r="R518" s="17">
        <f t="shared" si="3"/>
        <v>0</v>
      </c>
    </row>
    <row r="519">
      <c r="A519" s="7">
        <v>43919.62435405093</v>
      </c>
      <c r="B519" s="18" t="s">
        <v>18</v>
      </c>
      <c r="C519" s="19">
        <v>13130.0</v>
      </c>
      <c r="D519" s="18" t="s">
        <v>1891</v>
      </c>
      <c r="E519" s="18" t="s">
        <v>1892</v>
      </c>
      <c r="F519" s="18" t="s">
        <v>1756</v>
      </c>
      <c r="G519" s="19">
        <v>48837.0</v>
      </c>
      <c r="H519" s="21" t="s">
        <v>1173</v>
      </c>
      <c r="I519" s="21" t="s">
        <v>39</v>
      </c>
      <c r="J519" s="11">
        <v>123500.0</v>
      </c>
      <c r="K519" s="21" t="s">
        <v>25</v>
      </c>
      <c r="L519" s="25">
        <v>43663.0</v>
      </c>
      <c r="M519" s="31" t="s">
        <v>1893</v>
      </c>
      <c r="N519" s="21"/>
      <c r="O519" s="15">
        <f t="shared" si="1"/>
        <v>2019</v>
      </c>
      <c r="P519" s="16" t="str">
        <f t="shared" si="2"/>
        <v>USD</v>
      </c>
      <c r="Q519" s="15">
        <f>IFERROR(__xludf.DUMMYFUNCTION("IFNA(INDEX(GOOGLEFINANCE(""Currency:USD""&amp;$P519,""price"",DATE(YEAR($L519),MONTH($L519),DAY($L519))),2,2),LOOKUP(P519,CurrencyCodes,UnitsPerUSD))"),1.0)</f>
        <v>1</v>
      </c>
      <c r="R519" s="17">
        <f t="shared" si="3"/>
        <v>123500</v>
      </c>
    </row>
    <row r="520">
      <c r="A520" s="7">
        <v>44005.177838310185</v>
      </c>
      <c r="B520" s="18" t="s">
        <v>18</v>
      </c>
      <c r="C520" s="19">
        <v>1320.0</v>
      </c>
      <c r="D520" s="18" t="s">
        <v>1894</v>
      </c>
      <c r="E520" s="18" t="s">
        <v>1895</v>
      </c>
      <c r="F520" s="18" t="s">
        <v>1756</v>
      </c>
      <c r="G520" s="19">
        <v>49508.0</v>
      </c>
      <c r="H520" s="21" t="s">
        <v>1173</v>
      </c>
      <c r="I520" s="21" t="s">
        <v>39</v>
      </c>
      <c r="J520" s="11">
        <v>0.0</v>
      </c>
      <c r="K520" s="27" t="s">
        <v>25</v>
      </c>
      <c r="L520" s="22"/>
      <c r="M520" s="21"/>
      <c r="N520" s="27" t="s">
        <v>1896</v>
      </c>
      <c r="O520" s="15" t="str">
        <f t="shared" si="1"/>
        <v>Unknown</v>
      </c>
      <c r="P520" s="16" t="str">
        <f t="shared" si="2"/>
        <v>USD</v>
      </c>
      <c r="Q520" s="15">
        <f>IFERROR(__xludf.DUMMYFUNCTION("IFNA(INDEX(GOOGLEFINANCE(""Currency:USD""&amp;$P520,""price"",DATE(YEAR($L520),MONTH($L520),DAY($L520))),2,2),LOOKUP(P520,CurrencyCodes,UnitsPerUSD))"),1.0)</f>
        <v>1</v>
      </c>
      <c r="R520" s="17">
        <f t="shared" si="3"/>
        <v>0</v>
      </c>
    </row>
    <row r="521">
      <c r="A521" s="7">
        <v>44005.17948068287</v>
      </c>
      <c r="B521" s="18" t="s">
        <v>18</v>
      </c>
      <c r="C521" s="9">
        <v>4453.0</v>
      </c>
      <c r="D521" s="18" t="s">
        <v>1897</v>
      </c>
      <c r="E521" s="18" t="s">
        <v>1895</v>
      </c>
      <c r="F521" s="8" t="s">
        <v>1756</v>
      </c>
      <c r="G521" s="19">
        <v>49544.0</v>
      </c>
      <c r="H521" s="21" t="s">
        <v>1173</v>
      </c>
      <c r="I521" s="21" t="s">
        <v>39</v>
      </c>
      <c r="J521" s="11">
        <v>237900.0</v>
      </c>
      <c r="K521" s="21" t="s">
        <v>25</v>
      </c>
      <c r="L521" s="25">
        <v>40162.0</v>
      </c>
      <c r="M521" s="24" t="s">
        <v>1898</v>
      </c>
      <c r="N521" s="27" t="s">
        <v>1899</v>
      </c>
      <c r="O521" s="15">
        <f t="shared" si="1"/>
        <v>2009</v>
      </c>
      <c r="P521" s="16" t="str">
        <f t="shared" si="2"/>
        <v>USD</v>
      </c>
      <c r="Q521" s="15">
        <f>IFERROR(__xludf.DUMMYFUNCTION("IFNA(INDEX(GOOGLEFINANCE(""Currency:USD""&amp;$P521,""price"",DATE(YEAR($L521),MONTH($L521),DAY($L521))),2,2),LOOKUP(P521,CurrencyCodes,UnitsPerUSD))"),1.0)</f>
        <v>1</v>
      </c>
      <c r="R521" s="17">
        <f t="shared" si="3"/>
        <v>237900</v>
      </c>
    </row>
    <row r="522">
      <c r="A522" s="7">
        <v>44005.17606239583</v>
      </c>
      <c r="B522" s="8" t="s">
        <v>18</v>
      </c>
      <c r="C522" s="9">
        <v>2306.0</v>
      </c>
      <c r="D522" s="8" t="s">
        <v>1900</v>
      </c>
      <c r="E522" s="8" t="s">
        <v>1895</v>
      </c>
      <c r="F522" s="8" t="s">
        <v>1756</v>
      </c>
      <c r="G522" s="9">
        <v>49503.0</v>
      </c>
      <c r="H522" s="10" t="s">
        <v>1173</v>
      </c>
      <c r="I522" s="10" t="s">
        <v>39</v>
      </c>
      <c r="J522" s="11">
        <v>164000.0</v>
      </c>
      <c r="K522" s="10" t="s">
        <v>25</v>
      </c>
      <c r="L522" s="25">
        <v>40840.0</v>
      </c>
      <c r="M522" s="14" t="s">
        <v>1901</v>
      </c>
      <c r="N522" s="10"/>
      <c r="O522" s="15">
        <f t="shared" si="1"/>
        <v>2011</v>
      </c>
      <c r="P522" s="16" t="str">
        <f t="shared" si="2"/>
        <v>USD</v>
      </c>
      <c r="Q522" s="15">
        <f>IFERROR(__xludf.DUMMYFUNCTION("IFNA(INDEX(GOOGLEFINANCE(""Currency:USD""&amp;$P522,""price"",DATE(YEAR($L522),MONTH($L522),DAY($L522))),2,2),LOOKUP(P522,CurrencyCodes,UnitsPerUSD))"),1.0)</f>
        <v>1</v>
      </c>
      <c r="R522" s="17">
        <f t="shared" si="3"/>
        <v>164000</v>
      </c>
    </row>
    <row r="523">
      <c r="A523" s="7">
        <v>44005.17689116899</v>
      </c>
      <c r="B523" s="8" t="s">
        <v>18</v>
      </c>
      <c r="C523" s="9">
        <v>1451.0</v>
      </c>
      <c r="D523" s="8" t="s">
        <v>1902</v>
      </c>
      <c r="E523" s="8" t="s">
        <v>1895</v>
      </c>
      <c r="F523" s="8" t="s">
        <v>1756</v>
      </c>
      <c r="G523" s="9">
        <v>49504.0</v>
      </c>
      <c r="H523" s="10" t="s">
        <v>1173</v>
      </c>
      <c r="I523" s="10" t="s">
        <v>39</v>
      </c>
      <c r="J523" s="11">
        <v>0.0</v>
      </c>
      <c r="K523" s="12" t="s">
        <v>25</v>
      </c>
      <c r="L523" s="22"/>
      <c r="M523" s="10"/>
      <c r="N523" s="10" t="s">
        <v>1903</v>
      </c>
      <c r="O523" s="15" t="str">
        <f t="shared" si="1"/>
        <v>Unknown</v>
      </c>
      <c r="P523" s="16" t="str">
        <f t="shared" si="2"/>
        <v>USD</v>
      </c>
      <c r="Q523" s="15">
        <f>IFERROR(__xludf.DUMMYFUNCTION("IFNA(INDEX(GOOGLEFINANCE(""Currency:USD""&amp;$P523,""price"",DATE(YEAR($L523),MONTH($L523),DAY($L523))),2,2),LOOKUP(P523,CurrencyCodes,UnitsPerUSD))"),1.0)</f>
        <v>1</v>
      </c>
      <c r="R523" s="17">
        <f t="shared" si="3"/>
        <v>0</v>
      </c>
    </row>
    <row r="524">
      <c r="A524" s="7">
        <v>44020.67297488426</v>
      </c>
      <c r="B524" s="8" t="s">
        <v>18</v>
      </c>
      <c r="C524" s="9">
        <v>1636.0</v>
      </c>
      <c r="D524" s="8" t="s">
        <v>1904</v>
      </c>
      <c r="E524" s="8" t="s">
        <v>1905</v>
      </c>
      <c r="F524" s="8" t="s">
        <v>1756</v>
      </c>
      <c r="G524" s="9">
        <v>49738.0</v>
      </c>
      <c r="H524" s="10" t="s">
        <v>1173</v>
      </c>
      <c r="I524" s="10" t="s">
        <v>24</v>
      </c>
      <c r="J524" s="11">
        <v>145000.0</v>
      </c>
      <c r="K524" s="10" t="s">
        <v>25</v>
      </c>
      <c r="L524" s="25">
        <v>43996.0</v>
      </c>
      <c r="M524" s="14" t="s">
        <v>1906</v>
      </c>
      <c r="N524" s="10"/>
      <c r="O524" s="15">
        <f t="shared" si="1"/>
        <v>2020</v>
      </c>
      <c r="P524" s="16" t="str">
        <f t="shared" si="2"/>
        <v>USD</v>
      </c>
      <c r="Q524" s="15">
        <f>IFERROR(__xludf.DUMMYFUNCTION("IFNA(INDEX(GOOGLEFINANCE(""Currency:USD""&amp;$P524,""price"",DATE(YEAR($L524),MONTH($L524),DAY($L524))),2,2),LOOKUP(P524,CurrencyCodes,UnitsPerUSD))"),1.0)</f>
        <v>1</v>
      </c>
      <c r="R524" s="17">
        <f t="shared" si="3"/>
        <v>145000</v>
      </c>
    </row>
    <row r="525">
      <c r="A525" s="7">
        <v>44005.18064446759</v>
      </c>
      <c r="B525" s="8" t="s">
        <v>18</v>
      </c>
      <c r="C525" s="9">
        <v>6957.0</v>
      </c>
      <c r="D525" s="8" t="s">
        <v>1907</v>
      </c>
      <c r="E525" s="8" t="s">
        <v>1908</v>
      </c>
      <c r="F525" s="8" t="s">
        <v>1756</v>
      </c>
      <c r="G525" s="9">
        <v>49738.0</v>
      </c>
      <c r="H525" s="10" t="s">
        <v>1173</v>
      </c>
      <c r="I525" s="10" t="s">
        <v>39</v>
      </c>
      <c r="J525" s="11">
        <v>0.0</v>
      </c>
      <c r="K525" s="12" t="s">
        <v>25</v>
      </c>
      <c r="L525" s="22"/>
      <c r="M525" s="10"/>
      <c r="N525" s="12" t="s">
        <v>1909</v>
      </c>
      <c r="O525" s="15" t="str">
        <f t="shared" si="1"/>
        <v>Unknown</v>
      </c>
      <c r="P525" s="16" t="str">
        <f t="shared" si="2"/>
        <v>USD</v>
      </c>
      <c r="Q525" s="15">
        <f>IFERROR(__xludf.DUMMYFUNCTION("IFNA(INDEX(GOOGLEFINANCE(""Currency:USD""&amp;$P525,""price"",DATE(YEAR($L525),MONTH($L525),DAY($L525))),2,2),LOOKUP(P525,CurrencyCodes,UnitsPerUSD))"),1.0)</f>
        <v>1</v>
      </c>
      <c r="R525" s="17">
        <f t="shared" si="3"/>
        <v>0</v>
      </c>
    </row>
    <row r="526">
      <c r="A526" s="7">
        <v>44005.18149122685</v>
      </c>
      <c r="B526" s="18" t="s">
        <v>18</v>
      </c>
      <c r="C526" s="9">
        <v>4213.0</v>
      </c>
      <c r="D526" s="18" t="s">
        <v>1910</v>
      </c>
      <c r="E526" s="18" t="s">
        <v>1911</v>
      </c>
      <c r="F526" s="18" t="s">
        <v>1756</v>
      </c>
      <c r="G526" s="19">
        <v>48838.0</v>
      </c>
      <c r="H526" s="21" t="s">
        <v>1173</v>
      </c>
      <c r="I526" s="21" t="s">
        <v>39</v>
      </c>
      <c r="J526" s="11">
        <v>0.0</v>
      </c>
      <c r="K526" s="27" t="s">
        <v>25</v>
      </c>
      <c r="L526" s="22"/>
      <c r="M526" s="21"/>
      <c r="N526" s="12" t="s">
        <v>1912</v>
      </c>
      <c r="O526" s="15" t="str">
        <f t="shared" si="1"/>
        <v>Unknown</v>
      </c>
      <c r="P526" s="16" t="str">
        <f t="shared" si="2"/>
        <v>USD</v>
      </c>
      <c r="Q526" s="15">
        <f>IFERROR(__xludf.DUMMYFUNCTION("IFNA(INDEX(GOOGLEFINANCE(""Currency:USD""&amp;$P526,""price"",DATE(YEAR($L526),MONTH($L526),DAY($L526))),2,2),LOOKUP(P526,CurrencyCodes,UnitsPerUSD))"),1.0)</f>
        <v>1</v>
      </c>
      <c r="R526" s="17">
        <f t="shared" si="3"/>
        <v>0</v>
      </c>
    </row>
    <row r="527">
      <c r="A527" s="7">
        <v>43976.833851759264</v>
      </c>
      <c r="B527" s="18" t="s">
        <v>18</v>
      </c>
      <c r="C527" s="19">
        <v>15800.0</v>
      </c>
      <c r="D527" s="18" t="s">
        <v>1913</v>
      </c>
      <c r="E527" s="18" t="s">
        <v>1914</v>
      </c>
      <c r="F527" s="18" t="s">
        <v>1756</v>
      </c>
      <c r="G527" s="19">
        <v>48137.0</v>
      </c>
      <c r="H527" s="21" t="s">
        <v>1173</v>
      </c>
      <c r="I527" s="21" t="s">
        <v>39</v>
      </c>
      <c r="J527" s="11">
        <v>130000.0</v>
      </c>
      <c r="K527" s="21" t="s">
        <v>25</v>
      </c>
      <c r="L527" s="25">
        <v>43935.0</v>
      </c>
      <c r="M527" s="31" t="s">
        <v>1915</v>
      </c>
      <c r="N527" s="10"/>
      <c r="O527" s="15">
        <f t="shared" si="1"/>
        <v>2020</v>
      </c>
      <c r="P527" s="16" t="str">
        <f t="shared" si="2"/>
        <v>USD</v>
      </c>
      <c r="Q527" s="15">
        <f>IFERROR(__xludf.DUMMYFUNCTION("IFNA(INDEX(GOOGLEFINANCE(""Currency:USD""&amp;$P527,""price"",DATE(YEAR($L527),MONTH($L527),DAY($L527))),2,2),LOOKUP(P527,CurrencyCodes,UnitsPerUSD))"),1.0)</f>
        <v>1</v>
      </c>
      <c r="R527" s="17">
        <f t="shared" si="3"/>
        <v>130000</v>
      </c>
    </row>
    <row r="528">
      <c r="A528" s="7">
        <v>43919.623749942126</v>
      </c>
      <c r="B528" s="18" t="s">
        <v>18</v>
      </c>
      <c r="C528" s="9">
        <v>4093.0</v>
      </c>
      <c r="D528" s="8" t="s">
        <v>1916</v>
      </c>
      <c r="E528" s="18" t="s">
        <v>1917</v>
      </c>
      <c r="F528" s="8" t="s">
        <v>1756</v>
      </c>
      <c r="G528" s="9">
        <v>48739.0</v>
      </c>
      <c r="H528" s="21" t="s">
        <v>1173</v>
      </c>
      <c r="I528" s="21" t="s">
        <v>39</v>
      </c>
      <c r="J528" s="11">
        <v>107500.0</v>
      </c>
      <c r="K528" s="21" t="s">
        <v>25</v>
      </c>
      <c r="L528" s="25">
        <v>43364.0</v>
      </c>
      <c r="M528" s="31" t="s">
        <v>1918</v>
      </c>
      <c r="N528" s="10"/>
      <c r="O528" s="15">
        <f t="shared" si="1"/>
        <v>2018</v>
      </c>
      <c r="P528" s="16" t="str">
        <f t="shared" si="2"/>
        <v>USD</v>
      </c>
      <c r="Q528" s="15">
        <f>IFERROR(__xludf.DUMMYFUNCTION("IFNA(INDEX(GOOGLEFINANCE(""Currency:USD""&amp;$P528,""price"",DATE(YEAR($L528),MONTH($L528),DAY($L528))),2,2),LOOKUP(P528,CurrencyCodes,UnitsPerUSD))"),1.0)</f>
        <v>1</v>
      </c>
      <c r="R528" s="17">
        <f t="shared" si="3"/>
        <v>107500</v>
      </c>
    </row>
    <row r="529">
      <c r="A529" s="7">
        <v>43919.62331283565</v>
      </c>
      <c r="B529" s="18" t="s">
        <v>18</v>
      </c>
      <c r="C529" s="19">
        <v>951.0</v>
      </c>
      <c r="D529" s="18" t="s">
        <v>1919</v>
      </c>
      <c r="E529" s="18" t="s">
        <v>1920</v>
      </c>
      <c r="F529" s="18" t="s">
        <v>1756</v>
      </c>
      <c r="G529" s="19">
        <v>48625.0</v>
      </c>
      <c r="H529" s="21" t="s">
        <v>1173</v>
      </c>
      <c r="I529" s="21" t="s">
        <v>39</v>
      </c>
      <c r="J529" s="11">
        <v>50000.0</v>
      </c>
      <c r="K529" s="21" t="s">
        <v>25</v>
      </c>
      <c r="L529" s="25">
        <v>43868.0</v>
      </c>
      <c r="M529" s="24" t="s">
        <v>1921</v>
      </c>
      <c r="N529" s="27" t="s">
        <v>1922</v>
      </c>
      <c r="O529" s="15">
        <f t="shared" si="1"/>
        <v>2020</v>
      </c>
      <c r="P529" s="16" t="str">
        <f t="shared" si="2"/>
        <v>USD</v>
      </c>
      <c r="Q529" s="15">
        <f>IFERROR(__xludf.DUMMYFUNCTION("IFNA(INDEX(GOOGLEFINANCE(""Currency:USD""&amp;$P529,""price"",DATE(YEAR($L529),MONTH($L529),DAY($L529))),2,2),LOOKUP(P529,CurrencyCodes,UnitsPerUSD))"),1.0)</f>
        <v>1</v>
      </c>
      <c r="R529" s="17">
        <f t="shared" si="3"/>
        <v>50000</v>
      </c>
    </row>
    <row r="530">
      <c r="A530" s="7">
        <v>43918.56446212963</v>
      </c>
      <c r="B530" s="18" t="s">
        <v>18</v>
      </c>
      <c r="C530" s="19">
        <v>3041.0</v>
      </c>
      <c r="D530" s="18" t="s">
        <v>1923</v>
      </c>
      <c r="E530" s="18" t="s">
        <v>1924</v>
      </c>
      <c r="F530" s="18" t="s">
        <v>1756</v>
      </c>
      <c r="G530" s="9">
        <v>48141.0</v>
      </c>
      <c r="H530" s="21" t="s">
        <v>1173</v>
      </c>
      <c r="I530" s="21" t="s">
        <v>39</v>
      </c>
      <c r="J530" s="11">
        <v>145000.0</v>
      </c>
      <c r="K530" s="21" t="s">
        <v>25</v>
      </c>
      <c r="L530" s="25">
        <v>43594.0</v>
      </c>
      <c r="M530" s="14" t="s">
        <v>1925</v>
      </c>
      <c r="N530" s="21"/>
      <c r="O530" s="15">
        <f t="shared" si="1"/>
        <v>2019</v>
      </c>
      <c r="P530" s="16" t="str">
        <f t="shared" si="2"/>
        <v>USD</v>
      </c>
      <c r="Q530" s="15">
        <f>IFERROR(__xludf.DUMMYFUNCTION("IFNA(INDEX(GOOGLEFINANCE(""Currency:USD""&amp;$P530,""price"",DATE(YEAR($L530),MONTH($L530),DAY($L530))),2,2),LOOKUP(P530,CurrencyCodes,UnitsPerUSD))"),1.0)</f>
        <v>1</v>
      </c>
      <c r="R530" s="17">
        <f t="shared" si="3"/>
        <v>145000</v>
      </c>
    </row>
    <row r="531">
      <c r="A531" s="7">
        <v>43927.98730383102</v>
      </c>
      <c r="B531" s="18" t="s">
        <v>18</v>
      </c>
      <c r="C531" s="9"/>
      <c r="D531" s="18" t="s">
        <v>1926</v>
      </c>
      <c r="E531" s="18" t="s">
        <v>1927</v>
      </c>
      <c r="F531" s="8" t="s">
        <v>1756</v>
      </c>
      <c r="G531" s="9">
        <v>49938.0</v>
      </c>
      <c r="H531" s="21" t="s">
        <v>1173</v>
      </c>
      <c r="I531" s="21" t="s">
        <v>39</v>
      </c>
      <c r="J531" s="11">
        <v>0.0</v>
      </c>
      <c r="K531" s="27" t="s">
        <v>25</v>
      </c>
      <c r="L531" s="22"/>
      <c r="M531" s="21"/>
      <c r="N531" s="12" t="s">
        <v>1928</v>
      </c>
      <c r="O531" s="15" t="str">
        <f t="shared" si="1"/>
        <v>Unknown</v>
      </c>
      <c r="P531" s="16" t="str">
        <f t="shared" si="2"/>
        <v>USD</v>
      </c>
      <c r="Q531" s="15">
        <f>IFERROR(__xludf.DUMMYFUNCTION("IFNA(INDEX(GOOGLEFINANCE(""Currency:USD""&amp;$P531,""price"",DATE(YEAR($L531),MONTH($L531),DAY($L531))),2,2),LOOKUP(P531,CurrencyCodes,UnitsPerUSD))"),1.0)</f>
        <v>1</v>
      </c>
      <c r="R531" s="17">
        <f t="shared" si="3"/>
        <v>0</v>
      </c>
    </row>
    <row r="532">
      <c r="A532" s="7">
        <v>43927.995225879626</v>
      </c>
      <c r="B532" s="18" t="s">
        <v>18</v>
      </c>
      <c r="C532" s="19">
        <v>3530.0</v>
      </c>
      <c r="D532" s="18" t="s">
        <v>1929</v>
      </c>
      <c r="E532" s="18" t="s">
        <v>1930</v>
      </c>
      <c r="F532" s="8" t="s">
        <v>1756</v>
      </c>
      <c r="G532" s="9">
        <v>49004.0</v>
      </c>
      <c r="H532" s="21" t="s">
        <v>1173</v>
      </c>
      <c r="I532" s="21" t="s">
        <v>39</v>
      </c>
      <c r="J532" s="11">
        <v>80000.0</v>
      </c>
      <c r="K532" s="21" t="s">
        <v>25</v>
      </c>
      <c r="L532" s="25">
        <v>41326.0</v>
      </c>
      <c r="M532" s="28" t="s">
        <v>1931</v>
      </c>
      <c r="N532" s="12" t="s">
        <v>1932</v>
      </c>
      <c r="O532" s="15">
        <f t="shared" si="1"/>
        <v>2013</v>
      </c>
      <c r="P532" s="16" t="str">
        <f t="shared" si="2"/>
        <v>USD</v>
      </c>
      <c r="Q532" s="15">
        <f>IFERROR(__xludf.DUMMYFUNCTION("IFNA(INDEX(GOOGLEFINANCE(""Currency:USD""&amp;$P532,""price"",DATE(YEAR($L532),MONTH($L532),DAY($L532))),2,2),LOOKUP(P532,CurrencyCodes,UnitsPerUSD))"),1.0)</f>
        <v>1</v>
      </c>
      <c r="R532" s="17">
        <f t="shared" si="3"/>
        <v>80000</v>
      </c>
    </row>
    <row r="533">
      <c r="A533" s="7">
        <v>43927.9928405324</v>
      </c>
      <c r="B533" s="18" t="s">
        <v>61</v>
      </c>
      <c r="C533" s="19">
        <v>4200.0</v>
      </c>
      <c r="D533" s="18" t="s">
        <v>1933</v>
      </c>
      <c r="E533" s="18" t="s">
        <v>1930</v>
      </c>
      <c r="F533" s="8" t="s">
        <v>1756</v>
      </c>
      <c r="G533" s="19">
        <v>49004.0</v>
      </c>
      <c r="H533" s="21" t="s">
        <v>1173</v>
      </c>
      <c r="I533" s="21" t="s">
        <v>39</v>
      </c>
      <c r="J533" s="11">
        <v>49000.0</v>
      </c>
      <c r="K533" s="21" t="s">
        <v>25</v>
      </c>
      <c r="L533" s="25">
        <v>41334.0</v>
      </c>
      <c r="M533" s="31" t="s">
        <v>1934</v>
      </c>
      <c r="N533" s="21"/>
      <c r="O533" s="15">
        <f t="shared" si="1"/>
        <v>2013</v>
      </c>
      <c r="P533" s="16" t="str">
        <f t="shared" si="2"/>
        <v>USD</v>
      </c>
      <c r="Q533" s="15">
        <f>IFERROR(__xludf.DUMMYFUNCTION("IFNA(INDEX(GOOGLEFINANCE(""Currency:USD""&amp;$P533,""price"",DATE(YEAR($L533),MONTH($L533),DAY($L533))),2,2),LOOKUP(P533,CurrencyCodes,UnitsPerUSD))"),1.0)</f>
        <v>1</v>
      </c>
      <c r="R533" s="17">
        <f t="shared" si="3"/>
        <v>49000</v>
      </c>
    </row>
    <row r="534">
      <c r="A534" s="7">
        <v>43927.9981491088</v>
      </c>
      <c r="B534" s="18" t="s">
        <v>18</v>
      </c>
      <c r="C534" s="19">
        <v>1515.0</v>
      </c>
      <c r="D534" s="18" t="s">
        <v>1935</v>
      </c>
      <c r="E534" s="18" t="s">
        <v>1936</v>
      </c>
      <c r="F534" s="8" t="s">
        <v>1756</v>
      </c>
      <c r="G534" s="9">
        <v>49802.0</v>
      </c>
      <c r="H534" s="21" t="s">
        <v>1173</v>
      </c>
      <c r="I534" s="21" t="s">
        <v>39</v>
      </c>
      <c r="J534" s="11">
        <v>0.0</v>
      </c>
      <c r="K534" s="27" t="s">
        <v>25</v>
      </c>
      <c r="L534" s="22"/>
      <c r="M534" s="21"/>
      <c r="N534" s="12" t="s">
        <v>1937</v>
      </c>
      <c r="O534" s="15" t="str">
        <f t="shared" si="1"/>
        <v>Unknown</v>
      </c>
      <c r="P534" s="16" t="str">
        <f t="shared" si="2"/>
        <v>USD</v>
      </c>
      <c r="Q534" s="15">
        <f>IFERROR(__xludf.DUMMYFUNCTION("IFNA(INDEX(GOOGLEFINANCE(""Currency:USD""&amp;$P534,""price"",DATE(YEAR($L534),MONTH($L534),DAY($L534))),2,2),LOOKUP(P534,CurrencyCodes,UnitsPerUSD))"),1.0)</f>
        <v>1</v>
      </c>
      <c r="R534" s="17">
        <f t="shared" si="3"/>
        <v>0</v>
      </c>
    </row>
    <row r="535">
      <c r="A535" s="7">
        <v>43928.00063293982</v>
      </c>
      <c r="B535" s="18" t="s">
        <v>18</v>
      </c>
      <c r="C535" s="19">
        <v>56.0</v>
      </c>
      <c r="D535" s="18" t="s">
        <v>1938</v>
      </c>
      <c r="E535" s="18" t="s">
        <v>1939</v>
      </c>
      <c r="F535" s="8" t="s">
        <v>1756</v>
      </c>
      <c r="G535" s="19">
        <v>49653.0</v>
      </c>
      <c r="H535" s="21" t="s">
        <v>1173</v>
      </c>
      <c r="I535" s="21" t="s">
        <v>39</v>
      </c>
      <c r="J535" s="11">
        <v>126250.0</v>
      </c>
      <c r="K535" s="21" t="s">
        <v>25</v>
      </c>
      <c r="L535" s="25">
        <v>40389.0</v>
      </c>
      <c r="M535" s="24" t="s">
        <v>1940</v>
      </c>
      <c r="N535" s="27" t="s">
        <v>1941</v>
      </c>
      <c r="O535" s="15">
        <f t="shared" si="1"/>
        <v>2010</v>
      </c>
      <c r="P535" s="16" t="str">
        <f t="shared" si="2"/>
        <v>USD</v>
      </c>
      <c r="Q535" s="15">
        <f>IFERROR(__xludf.DUMMYFUNCTION("IFNA(INDEX(GOOGLEFINANCE(""Currency:USD""&amp;$P535,""price"",DATE(YEAR($L535),MONTH($L535),DAY($L535))),2,2),LOOKUP(P535,CurrencyCodes,UnitsPerUSD))"),1.0)</f>
        <v>1</v>
      </c>
      <c r="R535" s="17">
        <f t="shared" si="3"/>
        <v>126250</v>
      </c>
    </row>
    <row r="536">
      <c r="A536" s="7">
        <v>43928.003723368056</v>
      </c>
      <c r="B536" s="18" t="s">
        <v>18</v>
      </c>
      <c r="C536" s="9">
        <v>7450.0</v>
      </c>
      <c r="D536" s="18" t="s">
        <v>1942</v>
      </c>
      <c r="E536" s="18" t="s">
        <v>1943</v>
      </c>
      <c r="F536" s="8" t="s">
        <v>1756</v>
      </c>
      <c r="G536" s="9">
        <v>48850.0</v>
      </c>
      <c r="H536" s="21" t="s">
        <v>1173</v>
      </c>
      <c r="I536" s="21" t="s">
        <v>39</v>
      </c>
      <c r="J536" s="11">
        <v>130000.0</v>
      </c>
      <c r="K536" s="21" t="s">
        <v>25</v>
      </c>
      <c r="L536" s="25">
        <v>38505.0</v>
      </c>
      <c r="M536" s="28" t="s">
        <v>1944</v>
      </c>
      <c r="N536" s="12" t="s">
        <v>1945</v>
      </c>
      <c r="O536" s="15">
        <f t="shared" si="1"/>
        <v>2005</v>
      </c>
      <c r="P536" s="16" t="str">
        <f t="shared" si="2"/>
        <v>USD</v>
      </c>
      <c r="Q536" s="15">
        <f>IFERROR(__xludf.DUMMYFUNCTION("IFNA(INDEX(GOOGLEFINANCE(""Currency:USD""&amp;$P536,""price"",DATE(YEAR($L536),MONTH($L536),DAY($L536))),2,2),LOOKUP(P536,CurrencyCodes,UnitsPerUSD))"),1.0)</f>
        <v>1</v>
      </c>
      <c r="R536" s="17">
        <f t="shared" si="3"/>
        <v>130000</v>
      </c>
    </row>
    <row r="537">
      <c r="A537" s="7">
        <v>43928.0079503125</v>
      </c>
      <c r="B537" s="18" t="s">
        <v>18</v>
      </c>
      <c r="C537" s="9">
        <v>241.0</v>
      </c>
      <c r="D537" s="18" t="s">
        <v>1946</v>
      </c>
      <c r="E537" s="18" t="s">
        <v>1947</v>
      </c>
      <c r="F537" s="8" t="s">
        <v>1756</v>
      </c>
      <c r="G537" s="9">
        <v>48446.0</v>
      </c>
      <c r="H537" s="21" t="s">
        <v>1173</v>
      </c>
      <c r="I537" s="21" t="s">
        <v>39</v>
      </c>
      <c r="J537" s="11">
        <v>0.0</v>
      </c>
      <c r="K537" s="27" t="s">
        <v>25</v>
      </c>
      <c r="L537" s="22"/>
      <c r="M537" s="21"/>
      <c r="N537" s="12" t="s">
        <v>1948</v>
      </c>
      <c r="O537" s="15" t="str">
        <f t="shared" si="1"/>
        <v>Unknown</v>
      </c>
      <c r="P537" s="16" t="str">
        <f t="shared" si="2"/>
        <v>USD</v>
      </c>
      <c r="Q537" s="15">
        <f>IFERROR(__xludf.DUMMYFUNCTION("IFNA(INDEX(GOOGLEFINANCE(""Currency:USD""&amp;$P537,""price"",DATE(YEAR($L537),MONTH($L537),DAY($L537))),2,2),LOOKUP(P537,CurrencyCodes,UnitsPerUSD))"),1.0)</f>
        <v>1</v>
      </c>
      <c r="R537" s="17">
        <f t="shared" si="3"/>
        <v>0</v>
      </c>
    </row>
    <row r="538">
      <c r="A538" s="7">
        <v>43928.026071458335</v>
      </c>
      <c r="B538" s="18" t="s">
        <v>18</v>
      </c>
      <c r="C538" s="19">
        <v>5290.0</v>
      </c>
      <c r="D538" s="18" t="s">
        <v>1949</v>
      </c>
      <c r="E538" s="18" t="s">
        <v>1950</v>
      </c>
      <c r="F538" s="18" t="s">
        <v>1756</v>
      </c>
      <c r="G538" s="19">
        <v>49251.0</v>
      </c>
      <c r="H538" s="21" t="s">
        <v>1173</v>
      </c>
      <c r="I538" s="21" t="s">
        <v>39</v>
      </c>
      <c r="J538" s="11">
        <v>100000.0</v>
      </c>
      <c r="K538" s="21" t="s">
        <v>25</v>
      </c>
      <c r="L538" s="25">
        <v>39203.0</v>
      </c>
      <c r="M538" s="31" t="s">
        <v>1951</v>
      </c>
      <c r="N538" s="10"/>
      <c r="O538" s="15">
        <f t="shared" si="1"/>
        <v>2007</v>
      </c>
      <c r="P538" s="16" t="str">
        <f t="shared" si="2"/>
        <v>USD</v>
      </c>
      <c r="Q538" s="15">
        <f>IFERROR(__xludf.DUMMYFUNCTION("IFNA(INDEX(GOOGLEFINANCE(""Currency:USD""&amp;$P538,""price"",DATE(YEAR($L538),MONTH($L538),DAY($L538))),2,2),LOOKUP(P538,CurrencyCodes,UnitsPerUSD))"),1.0)</f>
        <v>1</v>
      </c>
      <c r="R538" s="17">
        <f t="shared" si="3"/>
        <v>100000</v>
      </c>
    </row>
    <row r="539">
      <c r="A539" s="7">
        <v>43928.29079449074</v>
      </c>
      <c r="B539" s="18" t="s">
        <v>18</v>
      </c>
      <c r="C539" s="19">
        <v>3100.0</v>
      </c>
      <c r="D539" s="18" t="s">
        <v>1952</v>
      </c>
      <c r="E539" s="18" t="s">
        <v>1953</v>
      </c>
      <c r="F539" s="18" t="s">
        <v>1756</v>
      </c>
      <c r="G539" s="19">
        <v>49331.0</v>
      </c>
      <c r="H539" s="21" t="s">
        <v>1173</v>
      </c>
      <c r="I539" s="21" t="s">
        <v>39</v>
      </c>
      <c r="J539" s="11">
        <v>0.0</v>
      </c>
      <c r="K539" s="27" t="s">
        <v>25</v>
      </c>
      <c r="L539" s="22"/>
      <c r="M539" s="21"/>
      <c r="N539" s="12" t="s">
        <v>1954</v>
      </c>
      <c r="O539" s="15" t="str">
        <f t="shared" si="1"/>
        <v>Unknown</v>
      </c>
      <c r="P539" s="16" t="str">
        <f t="shared" si="2"/>
        <v>USD</v>
      </c>
      <c r="Q539" s="15">
        <f>IFERROR(__xludf.DUMMYFUNCTION("IFNA(INDEX(GOOGLEFINANCE(""Currency:USD""&amp;$P539,""price"",DATE(YEAR($L539),MONTH($L539),DAY($L539))),2,2),LOOKUP(P539,CurrencyCodes,UnitsPerUSD))"),1.0)</f>
        <v>1</v>
      </c>
      <c r="R539" s="17">
        <f t="shared" si="3"/>
        <v>0</v>
      </c>
    </row>
    <row r="540">
      <c r="A540" s="7">
        <v>43918.56405797454</v>
      </c>
      <c r="B540" s="18" t="s">
        <v>18</v>
      </c>
      <c r="C540" s="19">
        <v>69.0</v>
      </c>
      <c r="D540" s="18" t="s">
        <v>1955</v>
      </c>
      <c r="E540" s="18" t="s">
        <v>1953</v>
      </c>
      <c r="F540" s="18" t="s">
        <v>1756</v>
      </c>
      <c r="G540" s="9">
        <v>49331.0</v>
      </c>
      <c r="H540" s="21" t="s">
        <v>1173</v>
      </c>
      <c r="I540" s="21" t="s">
        <v>39</v>
      </c>
      <c r="J540" s="11">
        <v>0.0</v>
      </c>
      <c r="K540" s="27" t="s">
        <v>25</v>
      </c>
      <c r="L540" s="22"/>
      <c r="M540" s="28" t="s">
        <v>1956</v>
      </c>
      <c r="N540" s="27" t="s">
        <v>1957</v>
      </c>
      <c r="O540" s="15" t="str">
        <f t="shared" si="1"/>
        <v>Unknown</v>
      </c>
      <c r="P540" s="16" t="str">
        <f t="shared" si="2"/>
        <v>USD</v>
      </c>
      <c r="Q540" s="15">
        <f>IFERROR(__xludf.DUMMYFUNCTION("IFNA(INDEX(GOOGLEFINANCE(""Currency:USD""&amp;$P540,""price"",DATE(YEAR($L540),MONTH($L540),DAY($L540))),2,2),LOOKUP(P540,CurrencyCodes,UnitsPerUSD))"),1.0)</f>
        <v>1</v>
      </c>
      <c r="R540" s="17">
        <f t="shared" si="3"/>
        <v>0</v>
      </c>
    </row>
    <row r="541">
      <c r="A541" s="7">
        <v>43927.97578736111</v>
      </c>
      <c r="B541" s="18" t="s">
        <v>18</v>
      </c>
      <c r="C541" s="9">
        <v>331.0</v>
      </c>
      <c r="D541" s="8" t="s">
        <v>1958</v>
      </c>
      <c r="E541" s="18" t="s">
        <v>1959</v>
      </c>
      <c r="F541" s="8" t="s">
        <v>1756</v>
      </c>
      <c r="G541" s="9">
        <v>49660.0</v>
      </c>
      <c r="H541" s="21" t="s">
        <v>1173</v>
      </c>
      <c r="I541" s="21" t="s">
        <v>39</v>
      </c>
      <c r="J541" s="11">
        <v>72000.0</v>
      </c>
      <c r="K541" s="27" t="s">
        <v>25</v>
      </c>
      <c r="L541" s="22"/>
      <c r="M541" s="28" t="s">
        <v>1960</v>
      </c>
      <c r="N541" s="27" t="s">
        <v>1961</v>
      </c>
      <c r="O541" s="15" t="str">
        <f t="shared" si="1"/>
        <v>Unknown</v>
      </c>
      <c r="P541" s="16" t="str">
        <f t="shared" si="2"/>
        <v>USD</v>
      </c>
      <c r="Q541" s="15">
        <f>IFERROR(__xludf.DUMMYFUNCTION("IFNA(INDEX(GOOGLEFINANCE(""Currency:USD""&amp;$P541,""price"",DATE(YEAR($L541),MONTH($L541),DAY($L541))),2,2),LOOKUP(P541,CurrencyCodes,UnitsPerUSD))"),1.0)</f>
        <v>1</v>
      </c>
      <c r="R541" s="17">
        <f t="shared" si="3"/>
        <v>72000</v>
      </c>
    </row>
    <row r="542">
      <c r="A542" s="7">
        <v>43918.56351577546</v>
      </c>
      <c r="B542" s="18" t="s">
        <v>18</v>
      </c>
      <c r="C542" s="19">
        <v>508.0</v>
      </c>
      <c r="D542" s="18" t="s">
        <v>1962</v>
      </c>
      <c r="E542" s="18" t="s">
        <v>1963</v>
      </c>
      <c r="F542" s="8" t="s">
        <v>1756</v>
      </c>
      <c r="G542" s="19">
        <v>49068.0</v>
      </c>
      <c r="H542" s="21" t="s">
        <v>1173</v>
      </c>
      <c r="I542" s="21" t="s">
        <v>39</v>
      </c>
      <c r="J542" s="11">
        <v>89500.0</v>
      </c>
      <c r="K542" s="21" t="s">
        <v>25</v>
      </c>
      <c r="L542" s="25">
        <v>43643.0</v>
      </c>
      <c r="M542" s="31" t="s">
        <v>1964</v>
      </c>
      <c r="N542" s="21"/>
      <c r="O542" s="15">
        <f t="shared" si="1"/>
        <v>2019</v>
      </c>
      <c r="P542" s="16" t="str">
        <f t="shared" si="2"/>
        <v>USD</v>
      </c>
      <c r="Q542" s="15">
        <f>IFERROR(__xludf.DUMMYFUNCTION("IFNA(INDEX(GOOGLEFINANCE(""Currency:USD""&amp;$P542,""price"",DATE(YEAR($L542),MONTH($L542),DAY($L542))),2,2),LOOKUP(P542,CurrencyCodes,UnitsPerUSD))"),1.0)</f>
        <v>1</v>
      </c>
      <c r="R542" s="17">
        <f t="shared" si="3"/>
        <v>89500</v>
      </c>
    </row>
    <row r="543">
      <c r="A543" s="7">
        <v>43927.968668009256</v>
      </c>
      <c r="B543" s="18" t="s">
        <v>18</v>
      </c>
      <c r="C543" s="9">
        <v>5358.0</v>
      </c>
      <c r="D543" s="18" t="s">
        <v>1965</v>
      </c>
      <c r="E543" s="18" t="s">
        <v>1966</v>
      </c>
      <c r="F543" s="8" t="s">
        <v>1756</v>
      </c>
      <c r="G543" s="9">
        <v>49436.0</v>
      </c>
      <c r="H543" s="21" t="s">
        <v>1173</v>
      </c>
      <c r="I543" s="21" t="s">
        <v>39</v>
      </c>
      <c r="J543" s="11">
        <v>0.0</v>
      </c>
      <c r="K543" s="27" t="s">
        <v>25</v>
      </c>
      <c r="L543" s="22"/>
      <c r="M543" s="28" t="s">
        <v>1967</v>
      </c>
      <c r="N543" s="12" t="s">
        <v>1968</v>
      </c>
      <c r="O543" s="15" t="str">
        <f t="shared" si="1"/>
        <v>Unknown</v>
      </c>
      <c r="P543" s="16" t="str">
        <f t="shared" si="2"/>
        <v>USD</v>
      </c>
      <c r="Q543" s="15">
        <f>IFERROR(__xludf.DUMMYFUNCTION("IFNA(INDEX(GOOGLEFINANCE(""Currency:USD""&amp;$P543,""price"",DATE(YEAR($L543),MONTH($L543),DAY($L543))),2,2),LOOKUP(P543,CurrencyCodes,UnitsPerUSD))"),1.0)</f>
        <v>1</v>
      </c>
      <c r="R543" s="17">
        <f t="shared" si="3"/>
        <v>0</v>
      </c>
    </row>
    <row r="544">
      <c r="A544" s="7">
        <v>43918.56086064815</v>
      </c>
      <c r="B544" s="18" t="s">
        <v>18</v>
      </c>
      <c r="C544" s="19">
        <v>4400.0</v>
      </c>
      <c r="D544" s="18" t="s">
        <v>1969</v>
      </c>
      <c r="E544" s="18" t="s">
        <v>1970</v>
      </c>
      <c r="F544" s="18" t="s">
        <v>1756</v>
      </c>
      <c r="G544" s="19">
        <v>49858.0</v>
      </c>
      <c r="H544" s="21" t="s">
        <v>1173</v>
      </c>
      <c r="I544" s="21" t="s">
        <v>39</v>
      </c>
      <c r="J544" s="11">
        <v>0.0</v>
      </c>
      <c r="K544" s="27" t="s">
        <v>25</v>
      </c>
      <c r="L544" s="22"/>
      <c r="M544" s="24" t="s">
        <v>1971</v>
      </c>
      <c r="N544" s="27" t="s">
        <v>1972</v>
      </c>
      <c r="O544" s="15" t="str">
        <f t="shared" si="1"/>
        <v>Unknown</v>
      </c>
      <c r="P544" s="16" t="str">
        <f t="shared" si="2"/>
        <v>USD</v>
      </c>
      <c r="Q544" s="15">
        <f>IFERROR(__xludf.DUMMYFUNCTION("IFNA(INDEX(GOOGLEFINANCE(""Currency:USD""&amp;$P544,""price"",DATE(YEAR($L544),MONTH($L544),DAY($L544))),2,2),LOOKUP(P544,CurrencyCodes,UnitsPerUSD))"),1.0)</f>
        <v>1</v>
      </c>
      <c r="R544" s="17">
        <f t="shared" si="3"/>
        <v>0</v>
      </c>
    </row>
    <row r="545">
      <c r="A545" s="7">
        <v>43927.95230821759</v>
      </c>
      <c r="B545" s="18" t="s">
        <v>18</v>
      </c>
      <c r="C545" s="9">
        <v>338.0</v>
      </c>
      <c r="D545" s="8" t="s">
        <v>1973</v>
      </c>
      <c r="E545" s="18" t="s">
        <v>1974</v>
      </c>
      <c r="F545" s="8" t="s">
        <v>1756</v>
      </c>
      <c r="G545" s="9">
        <v>48160.0</v>
      </c>
      <c r="H545" s="21" t="s">
        <v>1173</v>
      </c>
      <c r="I545" s="21" t="s">
        <v>39</v>
      </c>
      <c r="J545" s="11">
        <v>200000.0</v>
      </c>
      <c r="K545" s="21" t="s">
        <v>25</v>
      </c>
      <c r="L545" s="25">
        <v>39793.0</v>
      </c>
      <c r="M545" s="24" t="s">
        <v>1975</v>
      </c>
      <c r="N545" s="12" t="s">
        <v>1976</v>
      </c>
      <c r="O545" s="15">
        <f t="shared" si="1"/>
        <v>2008</v>
      </c>
      <c r="P545" s="16" t="str">
        <f t="shared" si="2"/>
        <v>USD</v>
      </c>
      <c r="Q545" s="15">
        <f>IFERROR(__xludf.DUMMYFUNCTION("IFNA(INDEX(GOOGLEFINANCE(""Currency:USD""&amp;$P545,""price"",DATE(YEAR($L545),MONTH($L545),DAY($L545))),2,2),LOOKUP(P545,CurrencyCodes,UnitsPerUSD))"),1.0)</f>
        <v>1</v>
      </c>
      <c r="R545" s="17">
        <f t="shared" si="3"/>
        <v>200000</v>
      </c>
    </row>
    <row r="546">
      <c r="A546" s="7">
        <v>43927.08190740741</v>
      </c>
      <c r="B546" s="8" t="s">
        <v>18</v>
      </c>
      <c r="C546" s="9">
        <v>611.0</v>
      </c>
      <c r="D546" s="8" t="s">
        <v>1977</v>
      </c>
      <c r="E546" s="8" t="s">
        <v>1978</v>
      </c>
      <c r="F546" s="8" t="s">
        <v>1756</v>
      </c>
      <c r="G546" s="9">
        <v>48647.0</v>
      </c>
      <c r="H546" s="10" t="s">
        <v>1173</v>
      </c>
      <c r="I546" s="10" t="s">
        <v>39</v>
      </c>
      <c r="J546" s="11">
        <v>0.0</v>
      </c>
      <c r="K546" s="12" t="s">
        <v>25</v>
      </c>
      <c r="L546" s="22"/>
      <c r="M546" s="10"/>
      <c r="N546" s="10" t="s">
        <v>1979</v>
      </c>
      <c r="O546" s="15" t="str">
        <f t="shared" si="1"/>
        <v>Unknown</v>
      </c>
      <c r="P546" s="16" t="str">
        <f t="shared" si="2"/>
        <v>USD</v>
      </c>
      <c r="Q546" s="15">
        <f>IFERROR(__xludf.DUMMYFUNCTION("IFNA(INDEX(GOOGLEFINANCE(""Currency:USD""&amp;$P546,""price"",DATE(YEAR($L546),MONTH($L546),DAY($L546))),2,2),LOOKUP(P546,CurrencyCodes,UnitsPerUSD))"),1.0)</f>
        <v>1</v>
      </c>
      <c r="R546" s="17">
        <f t="shared" si="3"/>
        <v>0</v>
      </c>
    </row>
    <row r="547">
      <c r="A547" s="7">
        <v>43927.081280694445</v>
      </c>
      <c r="B547" s="18" t="s">
        <v>18</v>
      </c>
      <c r="C547" s="19">
        <v>1670.0</v>
      </c>
      <c r="D547" s="18" t="s">
        <v>1980</v>
      </c>
      <c r="E547" s="18" t="s">
        <v>1981</v>
      </c>
      <c r="F547" s="18" t="s">
        <v>1756</v>
      </c>
      <c r="G547" s="19">
        <v>48161.0</v>
      </c>
      <c r="H547" s="21" t="s">
        <v>1173</v>
      </c>
      <c r="I547" s="21" t="s">
        <v>39</v>
      </c>
      <c r="J547" s="11">
        <v>0.0</v>
      </c>
      <c r="K547" s="27" t="s">
        <v>25</v>
      </c>
      <c r="L547" s="22"/>
      <c r="M547" s="21"/>
      <c r="N547" s="27" t="s">
        <v>1982</v>
      </c>
      <c r="O547" s="15" t="str">
        <f t="shared" si="1"/>
        <v>Unknown</v>
      </c>
      <c r="P547" s="16" t="str">
        <f t="shared" si="2"/>
        <v>USD</v>
      </c>
      <c r="Q547" s="15">
        <f>IFERROR(__xludf.DUMMYFUNCTION("IFNA(INDEX(GOOGLEFINANCE(""Currency:USD""&amp;$P547,""price"",DATE(YEAR($L547),MONTH($L547),DAY($L547))),2,2),LOOKUP(P547,CurrencyCodes,UnitsPerUSD))"),1.0)</f>
        <v>1</v>
      </c>
      <c r="R547" s="17">
        <f t="shared" si="3"/>
        <v>0</v>
      </c>
    </row>
    <row r="548">
      <c r="A548" s="7">
        <v>43912.529312858795</v>
      </c>
      <c r="B548" s="18" t="s">
        <v>18</v>
      </c>
      <c r="C548" s="19">
        <v>13000.0</v>
      </c>
      <c r="D548" s="18" t="s">
        <v>1983</v>
      </c>
      <c r="E548" s="18" t="s">
        <v>1984</v>
      </c>
      <c r="F548" s="18" t="s">
        <v>1756</v>
      </c>
      <c r="G548" s="19">
        <v>49256.0</v>
      </c>
      <c r="H548" s="21" t="s">
        <v>1173</v>
      </c>
      <c r="I548" s="21" t="s">
        <v>39</v>
      </c>
      <c r="J548" s="11">
        <v>75000.0</v>
      </c>
      <c r="K548" s="21" t="s">
        <v>25</v>
      </c>
      <c r="L548" s="25">
        <v>43265.0</v>
      </c>
      <c r="M548" s="31" t="s">
        <v>1985</v>
      </c>
      <c r="N548" s="10"/>
      <c r="O548" s="15">
        <f t="shared" si="1"/>
        <v>2018</v>
      </c>
      <c r="P548" s="16" t="str">
        <f t="shared" si="2"/>
        <v>USD</v>
      </c>
      <c r="Q548" s="15">
        <f>IFERROR(__xludf.DUMMYFUNCTION("IFNA(INDEX(GOOGLEFINANCE(""Currency:USD""&amp;$P548,""price"",DATE(YEAR($L548),MONTH($L548),DAY($L548))),2,2),LOOKUP(P548,CurrencyCodes,UnitsPerUSD))"),1.0)</f>
        <v>1</v>
      </c>
      <c r="R548" s="17">
        <f t="shared" si="3"/>
        <v>75000</v>
      </c>
    </row>
    <row r="549">
      <c r="A549" s="7">
        <v>43914.71745111111</v>
      </c>
      <c r="B549" s="18" t="s">
        <v>18</v>
      </c>
      <c r="C549" s="19">
        <v>3086.0</v>
      </c>
      <c r="D549" s="18" t="s">
        <v>1986</v>
      </c>
      <c r="E549" s="18" t="s">
        <v>1987</v>
      </c>
      <c r="F549" s="18" t="s">
        <v>1756</v>
      </c>
      <c r="G549" s="9">
        <v>49442.0</v>
      </c>
      <c r="H549" s="21" t="s">
        <v>1173</v>
      </c>
      <c r="I549" s="21" t="s">
        <v>24</v>
      </c>
      <c r="J549" s="11">
        <v>209900.0</v>
      </c>
      <c r="K549" s="21" t="s">
        <v>25</v>
      </c>
      <c r="L549" s="25">
        <v>43871.0</v>
      </c>
      <c r="M549" s="14" t="s">
        <v>1988</v>
      </c>
      <c r="N549" s="10"/>
      <c r="O549" s="15">
        <f t="shared" si="1"/>
        <v>2020</v>
      </c>
      <c r="P549" s="16" t="str">
        <f t="shared" si="2"/>
        <v>USD</v>
      </c>
      <c r="Q549" s="15">
        <f>IFERROR(__xludf.DUMMYFUNCTION("IFNA(INDEX(GOOGLEFINANCE(""Currency:USD""&amp;$P549,""price"",DATE(YEAR($L549),MONTH($L549),DAY($L549))),2,2),LOOKUP(P549,CurrencyCodes,UnitsPerUSD))"),1.0)</f>
        <v>1</v>
      </c>
      <c r="R549" s="17">
        <f t="shared" si="3"/>
        <v>209900</v>
      </c>
    </row>
    <row r="550">
      <c r="A550" s="7">
        <v>43914.712518726854</v>
      </c>
      <c r="B550" s="18" t="s">
        <v>18</v>
      </c>
      <c r="C550" s="19">
        <v>2875.0</v>
      </c>
      <c r="D550" s="18" t="s">
        <v>1989</v>
      </c>
      <c r="E550" s="18" t="s">
        <v>1987</v>
      </c>
      <c r="F550" s="18" t="s">
        <v>1756</v>
      </c>
      <c r="G550" s="19">
        <v>49445.0</v>
      </c>
      <c r="H550" s="21" t="s">
        <v>1173</v>
      </c>
      <c r="I550" s="21" t="s">
        <v>39</v>
      </c>
      <c r="J550" s="11">
        <v>76500.0</v>
      </c>
      <c r="K550" s="21" t="s">
        <v>25</v>
      </c>
      <c r="L550" s="25">
        <v>43194.0</v>
      </c>
      <c r="M550" s="24" t="s">
        <v>1990</v>
      </c>
      <c r="N550" s="27" t="s">
        <v>1991</v>
      </c>
      <c r="O550" s="15">
        <f t="shared" si="1"/>
        <v>2018</v>
      </c>
      <c r="P550" s="16" t="str">
        <f t="shared" si="2"/>
        <v>USD</v>
      </c>
      <c r="Q550" s="15">
        <f>IFERROR(__xludf.DUMMYFUNCTION("IFNA(INDEX(GOOGLEFINANCE(""Currency:USD""&amp;$P550,""price"",DATE(YEAR($L550),MONTH($L550),DAY($L550))),2,2),LOOKUP(P550,CurrencyCodes,UnitsPerUSD))"),1.0)</f>
        <v>1</v>
      </c>
      <c r="R550" s="17">
        <f t="shared" si="3"/>
        <v>76500</v>
      </c>
    </row>
    <row r="551">
      <c r="A551" s="7">
        <v>43918.563153993055</v>
      </c>
      <c r="B551" s="18" t="s">
        <v>18</v>
      </c>
      <c r="C551" s="19">
        <v>10074.0</v>
      </c>
      <c r="D551" s="18" t="s">
        <v>1992</v>
      </c>
      <c r="E551" s="18" t="s">
        <v>1993</v>
      </c>
      <c r="F551" s="18" t="s">
        <v>1756</v>
      </c>
      <c r="G551" s="19">
        <v>48463.0</v>
      </c>
      <c r="H551" s="21" t="s">
        <v>1173</v>
      </c>
      <c r="I551" s="21" t="s">
        <v>39</v>
      </c>
      <c r="J551" s="11">
        <v>164900.0</v>
      </c>
      <c r="K551" s="21" t="s">
        <v>25</v>
      </c>
      <c r="L551" s="25">
        <v>43861.0</v>
      </c>
      <c r="M551" s="31" t="s">
        <v>1994</v>
      </c>
      <c r="N551" s="21"/>
      <c r="O551" s="15">
        <f t="shared" si="1"/>
        <v>2020</v>
      </c>
      <c r="P551" s="16" t="str">
        <f t="shared" si="2"/>
        <v>USD</v>
      </c>
      <c r="Q551" s="15">
        <f>IFERROR(__xludf.DUMMYFUNCTION("IFNA(INDEX(GOOGLEFINANCE(""Currency:USD""&amp;$P551,""price"",DATE(YEAR($L551),MONTH($L551),DAY($L551))),2,2),LOOKUP(P551,CurrencyCodes,UnitsPerUSD))"),1.0)</f>
        <v>1</v>
      </c>
      <c r="R551" s="17">
        <f t="shared" si="3"/>
        <v>164900</v>
      </c>
    </row>
    <row r="552">
      <c r="A552" s="7">
        <v>43927.022914733796</v>
      </c>
      <c r="B552" s="18" t="s">
        <v>18</v>
      </c>
      <c r="C552" s="19">
        <v>13258.0</v>
      </c>
      <c r="D552" s="18" t="s">
        <v>1995</v>
      </c>
      <c r="E552" s="18" t="s">
        <v>1993</v>
      </c>
      <c r="F552" s="18" t="s">
        <v>1756</v>
      </c>
      <c r="G552" s="19">
        <v>48463.0</v>
      </c>
      <c r="H552" s="21" t="s">
        <v>1173</v>
      </c>
      <c r="I552" s="21" t="s">
        <v>39</v>
      </c>
      <c r="J552" s="11">
        <v>0.0</v>
      </c>
      <c r="K552" s="27" t="s">
        <v>25</v>
      </c>
      <c r="L552" s="22"/>
      <c r="M552" s="21"/>
      <c r="N552" s="27" t="s">
        <v>1996</v>
      </c>
      <c r="O552" s="15" t="str">
        <f t="shared" si="1"/>
        <v>Unknown</v>
      </c>
      <c r="P552" s="16" t="str">
        <f t="shared" si="2"/>
        <v>USD</v>
      </c>
      <c r="Q552" s="15">
        <f>IFERROR(__xludf.DUMMYFUNCTION("IFNA(INDEX(GOOGLEFINANCE(""Currency:USD""&amp;$P552,""price"",DATE(YEAR($L552),MONTH($L552),DAY($L552))),2,2),LOOKUP(P552,CurrencyCodes,UnitsPerUSD))"),1.0)</f>
        <v>1</v>
      </c>
      <c r="R552" s="17">
        <f t="shared" si="3"/>
        <v>0</v>
      </c>
    </row>
    <row r="553">
      <c r="A553" s="7">
        <v>43927.01811297453</v>
      </c>
      <c r="B553" s="18" t="s">
        <v>18</v>
      </c>
      <c r="C553" s="19">
        <v>36023.0</v>
      </c>
      <c r="D553" s="18" t="s">
        <v>1997</v>
      </c>
      <c r="E553" s="18" t="s">
        <v>1998</v>
      </c>
      <c r="F553" s="18" t="s">
        <v>1756</v>
      </c>
      <c r="G553" s="19">
        <v>49079.0</v>
      </c>
      <c r="H553" s="21" t="s">
        <v>1173</v>
      </c>
      <c r="I553" s="21" t="s">
        <v>39</v>
      </c>
      <c r="J553" s="11">
        <v>140000.0</v>
      </c>
      <c r="K553" s="21" t="s">
        <v>25</v>
      </c>
      <c r="L553" s="25">
        <v>41625.0</v>
      </c>
      <c r="M553" s="24" t="s">
        <v>1999</v>
      </c>
      <c r="N553" s="12" t="s">
        <v>2000</v>
      </c>
      <c r="O553" s="15">
        <f t="shared" si="1"/>
        <v>2013</v>
      </c>
      <c r="P553" s="16" t="str">
        <f t="shared" si="2"/>
        <v>USD</v>
      </c>
      <c r="Q553" s="15">
        <f>IFERROR(__xludf.DUMMYFUNCTION("IFNA(INDEX(GOOGLEFINANCE(""Currency:USD""&amp;$P553,""price"",DATE(YEAR($L553),MONTH($L553),DAY($L553))),2,2),LOOKUP(P553,CurrencyCodes,UnitsPerUSD))"),1.0)</f>
        <v>1</v>
      </c>
      <c r="R553" s="17">
        <f t="shared" si="3"/>
        <v>140000</v>
      </c>
    </row>
    <row r="554">
      <c r="A554" s="7">
        <v>43926.96288550926</v>
      </c>
      <c r="B554" s="18" t="s">
        <v>18</v>
      </c>
      <c r="C554" s="19">
        <v>3737.0</v>
      </c>
      <c r="D554" s="18" t="s">
        <v>2001</v>
      </c>
      <c r="E554" s="18" t="s">
        <v>1460</v>
      </c>
      <c r="F554" s="18" t="s">
        <v>1756</v>
      </c>
      <c r="G554" s="19">
        <v>48872.0</v>
      </c>
      <c r="H554" s="21" t="s">
        <v>1173</v>
      </c>
      <c r="I554" s="21" t="s">
        <v>39</v>
      </c>
      <c r="J554" s="11">
        <v>249000.0</v>
      </c>
      <c r="K554" s="21" t="s">
        <v>25</v>
      </c>
      <c r="L554" s="25">
        <v>42601.0</v>
      </c>
      <c r="M554" s="24" t="s">
        <v>2002</v>
      </c>
      <c r="N554" s="12" t="s">
        <v>2003</v>
      </c>
      <c r="O554" s="15">
        <f t="shared" si="1"/>
        <v>2016</v>
      </c>
      <c r="P554" s="16" t="str">
        <f t="shared" si="2"/>
        <v>USD</v>
      </c>
      <c r="Q554" s="15">
        <f>IFERROR(__xludf.DUMMYFUNCTION("IFNA(INDEX(GOOGLEFINANCE(""Currency:USD""&amp;$P554,""price"",DATE(YEAR($L554),MONTH($L554),DAY($L554))),2,2),LOOKUP(P554,CurrencyCodes,UnitsPerUSD))"),1.0)</f>
        <v>1</v>
      </c>
      <c r="R554" s="17">
        <f t="shared" si="3"/>
        <v>249000</v>
      </c>
    </row>
    <row r="555">
      <c r="A555" s="7">
        <v>43916.92270314815</v>
      </c>
      <c r="B555" s="18" t="s">
        <v>18</v>
      </c>
      <c r="C555" s="19">
        <v>14392.0</v>
      </c>
      <c r="D555" s="18" t="s">
        <v>2004</v>
      </c>
      <c r="E555" s="18" t="s">
        <v>2005</v>
      </c>
      <c r="F555" s="18" t="s">
        <v>1756</v>
      </c>
      <c r="G555" s="19">
        <v>48872.0</v>
      </c>
      <c r="H555" s="21" t="s">
        <v>1173</v>
      </c>
      <c r="I555" s="21" t="s">
        <v>39</v>
      </c>
      <c r="J555" s="11">
        <v>180000.0</v>
      </c>
      <c r="K555" s="21" t="s">
        <v>25</v>
      </c>
      <c r="L555" s="25">
        <v>43560.0</v>
      </c>
      <c r="M555" s="31" t="s">
        <v>2006</v>
      </c>
      <c r="N555" s="21"/>
      <c r="O555" s="15">
        <f t="shared" si="1"/>
        <v>2019</v>
      </c>
      <c r="P555" s="16" t="str">
        <f t="shared" si="2"/>
        <v>USD</v>
      </c>
      <c r="Q555" s="15">
        <f>IFERROR(__xludf.DUMMYFUNCTION("IFNA(INDEX(GOOGLEFINANCE(""Currency:USD""&amp;$P555,""price"",DATE(YEAR($L555),MONTH($L555),DAY($L555))),2,2),LOOKUP(P555,CurrencyCodes,UnitsPerUSD))"),1.0)</f>
        <v>1</v>
      </c>
      <c r="R555" s="17">
        <f t="shared" si="3"/>
        <v>180000</v>
      </c>
    </row>
    <row r="556">
      <c r="A556" s="7">
        <v>43931.568192384264</v>
      </c>
      <c r="B556" s="18" t="s">
        <v>18</v>
      </c>
      <c r="C556" s="19">
        <v>317.0</v>
      </c>
      <c r="D556" s="18" t="s">
        <v>2007</v>
      </c>
      <c r="E556" s="18" t="s">
        <v>2008</v>
      </c>
      <c r="F556" s="18" t="s">
        <v>1756</v>
      </c>
      <c r="G556" s="19">
        <v>48650.0</v>
      </c>
      <c r="H556" s="21" t="s">
        <v>1173</v>
      </c>
      <c r="I556" s="21" t="s">
        <v>39</v>
      </c>
      <c r="J556" s="11">
        <v>65000.0</v>
      </c>
      <c r="K556" s="21" t="s">
        <v>25</v>
      </c>
      <c r="L556" s="25">
        <v>43896.0</v>
      </c>
      <c r="M556" s="31" t="s">
        <v>2009</v>
      </c>
      <c r="N556" s="10"/>
      <c r="O556" s="15">
        <f t="shared" si="1"/>
        <v>2020</v>
      </c>
      <c r="P556" s="16" t="str">
        <f t="shared" si="2"/>
        <v>USD</v>
      </c>
      <c r="Q556" s="15">
        <f>IFERROR(__xludf.DUMMYFUNCTION("IFNA(INDEX(GOOGLEFINANCE(""Currency:USD""&amp;$P556,""price"",DATE(YEAR($L556),MONTH($L556),DAY($L556))),2,2),LOOKUP(P556,CurrencyCodes,UnitsPerUSD))"),1.0)</f>
        <v>1</v>
      </c>
      <c r="R556" s="17">
        <f t="shared" si="3"/>
        <v>65000</v>
      </c>
    </row>
    <row r="557">
      <c r="A557" s="7">
        <v>43926.95307189815</v>
      </c>
      <c r="B557" s="18" t="s">
        <v>18</v>
      </c>
      <c r="C557" s="19">
        <v>1670.0</v>
      </c>
      <c r="D557" s="18" t="s">
        <v>2010</v>
      </c>
      <c r="E557" s="18" t="s">
        <v>1144</v>
      </c>
      <c r="F557" s="18" t="s">
        <v>1756</v>
      </c>
      <c r="G557" s="19">
        <v>48170.0</v>
      </c>
      <c r="H557" s="21" t="s">
        <v>1173</v>
      </c>
      <c r="I557" s="21" t="s">
        <v>39</v>
      </c>
      <c r="J557" s="11">
        <v>300000.0</v>
      </c>
      <c r="K557" s="21" t="s">
        <v>25</v>
      </c>
      <c r="L557" s="25">
        <v>42928.0</v>
      </c>
      <c r="M557" s="24" t="s">
        <v>2011</v>
      </c>
      <c r="N557" s="27" t="s">
        <v>2012</v>
      </c>
      <c r="O557" s="15">
        <f t="shared" si="1"/>
        <v>2017</v>
      </c>
      <c r="P557" s="16" t="str">
        <f t="shared" si="2"/>
        <v>USD</v>
      </c>
      <c r="Q557" s="15">
        <f>IFERROR(__xludf.DUMMYFUNCTION("IFNA(INDEX(GOOGLEFINANCE(""Currency:USD""&amp;$P557,""price"",DATE(YEAR($L557),MONTH($L557),DAY($L557))),2,2),LOOKUP(P557,CurrencyCodes,UnitsPerUSD))"),1.0)</f>
        <v>1</v>
      </c>
      <c r="R557" s="17">
        <f t="shared" si="3"/>
        <v>300000</v>
      </c>
    </row>
    <row r="558">
      <c r="A558" s="7">
        <v>43918.5624040625</v>
      </c>
      <c r="B558" s="18" t="s">
        <v>18</v>
      </c>
      <c r="C558" s="19">
        <v>14550.0</v>
      </c>
      <c r="D558" s="18" t="s">
        <v>2013</v>
      </c>
      <c r="E558" s="18" t="s">
        <v>2014</v>
      </c>
      <c r="F558" s="18" t="s">
        <v>1756</v>
      </c>
      <c r="G558" s="9">
        <v>49340.0</v>
      </c>
      <c r="H558" s="21" t="s">
        <v>1173</v>
      </c>
      <c r="I558" s="21" t="s">
        <v>39</v>
      </c>
      <c r="J558" s="11">
        <v>78500.0</v>
      </c>
      <c r="K558" s="21" t="s">
        <v>25</v>
      </c>
      <c r="L558" s="25">
        <v>43742.0</v>
      </c>
      <c r="M558" s="31" t="s">
        <v>2015</v>
      </c>
      <c r="N558" s="10"/>
      <c r="O558" s="15">
        <f t="shared" si="1"/>
        <v>2019</v>
      </c>
      <c r="P558" s="16" t="str">
        <f t="shared" si="2"/>
        <v>USD</v>
      </c>
      <c r="Q558" s="15">
        <f>IFERROR(__xludf.DUMMYFUNCTION("IFNA(INDEX(GOOGLEFINANCE(""Currency:USD""&amp;$P558,""price"",DATE(YEAR($L558),MONTH($L558),DAY($L558))),2,2),LOOKUP(P558,CurrencyCodes,UnitsPerUSD))"),1.0)</f>
        <v>1</v>
      </c>
      <c r="R558" s="17">
        <f t="shared" si="3"/>
        <v>78500</v>
      </c>
    </row>
    <row r="559">
      <c r="A559" s="7">
        <v>43926.18609899306</v>
      </c>
      <c r="B559" s="18" t="s">
        <v>18</v>
      </c>
      <c r="C559" s="19">
        <v>18637.0</v>
      </c>
      <c r="D559" s="18" t="s">
        <v>2016</v>
      </c>
      <c r="E559" s="18" t="s">
        <v>2017</v>
      </c>
      <c r="F559" s="18" t="s">
        <v>1756</v>
      </c>
      <c r="G559" s="9">
        <v>48192.0</v>
      </c>
      <c r="H559" s="21" t="s">
        <v>1173</v>
      </c>
      <c r="I559" s="21" t="s">
        <v>39</v>
      </c>
      <c r="J559" s="11">
        <v>345000.0</v>
      </c>
      <c r="K559" s="21" t="s">
        <v>25</v>
      </c>
      <c r="L559" s="25">
        <v>39021.0</v>
      </c>
      <c r="M559" s="24" t="s">
        <v>2018</v>
      </c>
      <c r="N559" s="12" t="s">
        <v>2019</v>
      </c>
      <c r="O559" s="15">
        <f t="shared" si="1"/>
        <v>2006</v>
      </c>
      <c r="P559" s="16" t="str">
        <f t="shared" si="2"/>
        <v>USD</v>
      </c>
      <c r="Q559" s="15">
        <f>IFERROR(__xludf.DUMMYFUNCTION("IFNA(INDEX(GOOGLEFINANCE(""Currency:USD""&amp;$P559,""price"",DATE(YEAR($L559),MONTH($L559),DAY($L559))),2,2),LOOKUP(P559,CurrencyCodes,UnitsPerUSD))"),1.0)</f>
        <v>1</v>
      </c>
      <c r="R559" s="17">
        <f t="shared" si="3"/>
        <v>345000</v>
      </c>
    </row>
    <row r="560">
      <c r="A560" s="7">
        <v>43926.17842002315</v>
      </c>
      <c r="B560" s="18" t="s">
        <v>18</v>
      </c>
      <c r="C560" s="9">
        <v>3706.0</v>
      </c>
      <c r="D560" s="18" t="s">
        <v>2020</v>
      </c>
      <c r="E560" s="18" t="s">
        <v>2021</v>
      </c>
      <c r="F560" s="8" t="s">
        <v>1756</v>
      </c>
      <c r="G560" s="19">
        <v>48653.0</v>
      </c>
      <c r="H560" s="21" t="s">
        <v>1173</v>
      </c>
      <c r="I560" s="21" t="s">
        <v>39</v>
      </c>
      <c r="J560" s="11">
        <v>0.0</v>
      </c>
      <c r="K560" s="27" t="s">
        <v>25</v>
      </c>
      <c r="L560" s="22"/>
      <c r="M560" s="21"/>
      <c r="N560" s="21"/>
      <c r="O560" s="15" t="str">
        <f t="shared" si="1"/>
        <v>Unknown</v>
      </c>
      <c r="P560" s="16" t="str">
        <f t="shared" si="2"/>
        <v>USD</v>
      </c>
      <c r="Q560" s="15">
        <f>IFERROR(__xludf.DUMMYFUNCTION("IFNA(INDEX(GOOGLEFINANCE(""Currency:USD""&amp;$P560,""price"",DATE(YEAR($L560),MONTH($L560),DAY($L560))),2,2),LOOKUP(P560,CurrencyCodes,UnitsPerUSD))"),1.0)</f>
        <v>1</v>
      </c>
      <c r="R560" s="17">
        <f t="shared" si="3"/>
        <v>0</v>
      </c>
    </row>
    <row r="561">
      <c r="A561" s="7">
        <v>43918.5620428125</v>
      </c>
      <c r="B561" s="18" t="s">
        <v>18</v>
      </c>
      <c r="C561" s="19">
        <v>16675.0</v>
      </c>
      <c r="D561" s="18" t="s">
        <v>2022</v>
      </c>
      <c r="E561" s="18" t="s">
        <v>2023</v>
      </c>
      <c r="F561" s="18" t="s">
        <v>1756</v>
      </c>
      <c r="G561" s="9">
        <v>48066.0</v>
      </c>
      <c r="H561" s="21" t="s">
        <v>1173</v>
      </c>
      <c r="I561" s="21" t="s">
        <v>39</v>
      </c>
      <c r="J561" s="11">
        <v>262000.0</v>
      </c>
      <c r="K561" s="21" t="s">
        <v>25</v>
      </c>
      <c r="L561" s="25">
        <v>43535.0</v>
      </c>
      <c r="M561" s="31" t="s">
        <v>2024</v>
      </c>
      <c r="N561" s="10"/>
      <c r="O561" s="15">
        <f t="shared" si="1"/>
        <v>2019</v>
      </c>
      <c r="P561" s="16" t="str">
        <f t="shared" si="2"/>
        <v>USD</v>
      </c>
      <c r="Q561" s="15">
        <f>IFERROR(__xludf.DUMMYFUNCTION("IFNA(INDEX(GOOGLEFINANCE(""Currency:USD""&amp;$P561,""price"",DATE(YEAR($L561),MONTH($L561),DAY($L561))),2,2),LOOKUP(P561,CurrencyCodes,UnitsPerUSD))"),1.0)</f>
        <v>1</v>
      </c>
      <c r="R561" s="17">
        <f t="shared" si="3"/>
        <v>262000</v>
      </c>
    </row>
    <row r="562">
      <c r="A562" s="7">
        <v>43926.17585368056</v>
      </c>
      <c r="B562" s="18" t="s">
        <v>18</v>
      </c>
      <c r="C562" s="19">
        <v>623.0</v>
      </c>
      <c r="D562" s="18" t="s">
        <v>2025</v>
      </c>
      <c r="E562" s="18" t="s">
        <v>2026</v>
      </c>
      <c r="F562" s="18" t="s">
        <v>1756</v>
      </c>
      <c r="G562" s="19">
        <v>48601.0</v>
      </c>
      <c r="H562" s="21" t="s">
        <v>1173</v>
      </c>
      <c r="I562" s="21" t="s">
        <v>39</v>
      </c>
      <c r="J562" s="11">
        <v>159000.0</v>
      </c>
      <c r="K562" s="27" t="s">
        <v>25</v>
      </c>
      <c r="L562" s="22"/>
      <c r="M562" s="21"/>
      <c r="N562" s="21" t="s">
        <v>2027</v>
      </c>
      <c r="O562" s="15" t="str">
        <f t="shared" si="1"/>
        <v>Unknown</v>
      </c>
      <c r="P562" s="16" t="str">
        <f t="shared" si="2"/>
        <v>USD</v>
      </c>
      <c r="Q562" s="15">
        <f>IFERROR(__xludf.DUMMYFUNCTION("IFNA(INDEX(GOOGLEFINANCE(""Currency:USD""&amp;$P562,""price"",DATE(YEAR($L562),MONTH($L562),DAY($L562))),2,2),LOOKUP(P562,CurrencyCodes,UnitsPerUSD))"),1.0)</f>
        <v>1</v>
      </c>
      <c r="R562" s="17">
        <f t="shared" si="3"/>
        <v>159000</v>
      </c>
    </row>
    <row r="563">
      <c r="A563" s="7">
        <v>43926.171442314815</v>
      </c>
      <c r="B563" s="18" t="s">
        <v>18</v>
      </c>
      <c r="C563" s="19">
        <v>2211.0</v>
      </c>
      <c r="D563" s="18" t="s">
        <v>2028</v>
      </c>
      <c r="E563" s="18" t="s">
        <v>2029</v>
      </c>
      <c r="F563" s="18" t="s">
        <v>1756</v>
      </c>
      <c r="G563" s="19">
        <v>48601.0</v>
      </c>
      <c r="H563" s="21" t="s">
        <v>1173</v>
      </c>
      <c r="I563" s="21" t="s">
        <v>39</v>
      </c>
      <c r="J563" s="11">
        <v>135000.0</v>
      </c>
      <c r="K563" s="21" t="s">
        <v>25</v>
      </c>
      <c r="L563" s="25">
        <v>43262.0</v>
      </c>
      <c r="M563" s="24" t="s">
        <v>2030</v>
      </c>
      <c r="N563" s="21" t="s">
        <v>2031</v>
      </c>
      <c r="O563" s="15">
        <f t="shared" si="1"/>
        <v>2018</v>
      </c>
      <c r="P563" s="16" t="str">
        <f t="shared" si="2"/>
        <v>USD</v>
      </c>
      <c r="Q563" s="15">
        <f>IFERROR(__xludf.DUMMYFUNCTION("IFNA(INDEX(GOOGLEFINANCE(""Currency:USD""&amp;$P563,""price"",DATE(YEAR($L563),MONTH($L563),DAY($L563))),2,2),LOOKUP(P563,CurrencyCodes,UnitsPerUSD))"),1.0)</f>
        <v>1</v>
      </c>
      <c r="R563" s="17">
        <f t="shared" si="3"/>
        <v>135000</v>
      </c>
    </row>
    <row r="564">
      <c r="A564" s="7">
        <v>43919.632959027775</v>
      </c>
      <c r="B564" s="18" t="s">
        <v>18</v>
      </c>
      <c r="C564" s="19">
        <v>11750.0</v>
      </c>
      <c r="D564" s="18" t="s">
        <v>2032</v>
      </c>
      <c r="E564" s="18" t="s">
        <v>2033</v>
      </c>
      <c r="F564" s="18" t="s">
        <v>1756</v>
      </c>
      <c r="G564" s="19">
        <v>48655.0</v>
      </c>
      <c r="H564" s="21" t="s">
        <v>1173</v>
      </c>
      <c r="I564" s="21" t="s">
        <v>39</v>
      </c>
      <c r="J564" s="11">
        <v>75000.0</v>
      </c>
      <c r="K564" s="21" t="s">
        <v>25</v>
      </c>
      <c r="L564" s="25">
        <v>43626.0</v>
      </c>
      <c r="M564" s="31" t="s">
        <v>2034</v>
      </c>
      <c r="N564" s="10"/>
      <c r="O564" s="15">
        <f t="shared" si="1"/>
        <v>2019</v>
      </c>
      <c r="P564" s="16" t="str">
        <f t="shared" si="2"/>
        <v>USD</v>
      </c>
      <c r="Q564" s="15">
        <f>IFERROR(__xludf.DUMMYFUNCTION("IFNA(INDEX(GOOGLEFINANCE(""Currency:USD""&amp;$P564,""price"",DATE(YEAR($L564),MONTH($L564),DAY($L564))),2,2),LOOKUP(P564,CurrencyCodes,UnitsPerUSD))"),1.0)</f>
        <v>1</v>
      </c>
      <c r="R564" s="17">
        <f t="shared" si="3"/>
        <v>75000</v>
      </c>
    </row>
    <row r="565">
      <c r="A565" s="7">
        <v>43926.15442167824</v>
      </c>
      <c r="B565" s="18" t="s">
        <v>18</v>
      </c>
      <c r="C565" s="19" t="s">
        <v>2035</v>
      </c>
      <c r="D565" s="18" t="s">
        <v>2036</v>
      </c>
      <c r="E565" s="18" t="s">
        <v>2037</v>
      </c>
      <c r="F565" s="18" t="s">
        <v>1756</v>
      </c>
      <c r="G565" s="19">
        <v>49781.0</v>
      </c>
      <c r="H565" s="21" t="s">
        <v>1173</v>
      </c>
      <c r="I565" s="21" t="s">
        <v>39</v>
      </c>
      <c r="J565" s="11">
        <v>0.0</v>
      </c>
      <c r="K565" s="27" t="s">
        <v>25</v>
      </c>
      <c r="L565" s="22"/>
      <c r="M565" s="31" t="s">
        <v>2038</v>
      </c>
      <c r="N565" s="21"/>
      <c r="O565" s="15" t="str">
        <f t="shared" si="1"/>
        <v>Unknown</v>
      </c>
      <c r="P565" s="16" t="str">
        <f t="shared" si="2"/>
        <v>USD</v>
      </c>
      <c r="Q565" s="15">
        <f>IFERROR(__xludf.DUMMYFUNCTION("IFNA(INDEX(GOOGLEFINANCE(""Currency:USD""&amp;$P565,""price"",DATE(YEAR($L565),MONTH($L565),DAY($L565))),2,2),LOOKUP(P565,CurrencyCodes,UnitsPerUSD))"),1.0)</f>
        <v>1</v>
      </c>
      <c r="R565" s="17">
        <f t="shared" si="3"/>
        <v>0</v>
      </c>
    </row>
    <row r="566">
      <c r="A566" s="7">
        <v>43926.16831994213</v>
      </c>
      <c r="B566" s="18" t="s">
        <v>18</v>
      </c>
      <c r="C566" s="9">
        <v>3.0</v>
      </c>
      <c r="D566" s="8" t="s">
        <v>2039</v>
      </c>
      <c r="E566" s="18" t="s">
        <v>2040</v>
      </c>
      <c r="F566" s="18" t="s">
        <v>1756</v>
      </c>
      <c r="G566" s="9">
        <v>49783.0</v>
      </c>
      <c r="H566" s="21" t="s">
        <v>1173</v>
      </c>
      <c r="I566" s="21" t="s">
        <v>39</v>
      </c>
      <c r="J566" s="11">
        <v>0.0</v>
      </c>
      <c r="K566" s="27" t="s">
        <v>25</v>
      </c>
      <c r="L566" s="22"/>
      <c r="M566" s="10"/>
      <c r="N566" s="21"/>
      <c r="O566" s="15" t="str">
        <f t="shared" si="1"/>
        <v>Unknown</v>
      </c>
      <c r="P566" s="16" t="str">
        <f t="shared" si="2"/>
        <v>USD</v>
      </c>
      <c r="Q566" s="15">
        <f>IFERROR(__xludf.DUMMYFUNCTION("IFNA(INDEX(GOOGLEFINANCE(""Currency:USD""&amp;$P566,""price"",DATE(YEAR($L566),MONTH($L566),DAY($L566))),2,2),LOOKUP(P566,CurrencyCodes,UnitsPerUSD))"),1.0)</f>
        <v>1</v>
      </c>
      <c r="R566" s="17">
        <f t="shared" si="3"/>
        <v>0</v>
      </c>
    </row>
    <row r="567">
      <c r="A567" s="7">
        <v>43919.54426190972</v>
      </c>
      <c r="B567" s="18" t="s">
        <v>18</v>
      </c>
      <c r="C567" s="9">
        <v>11355.0</v>
      </c>
      <c r="D567" s="18" t="s">
        <v>2041</v>
      </c>
      <c r="E567" s="18" t="s">
        <v>2042</v>
      </c>
      <c r="F567" s="8" t="s">
        <v>1756</v>
      </c>
      <c r="G567" s="19">
        <v>48195.0</v>
      </c>
      <c r="H567" s="21" t="s">
        <v>1173</v>
      </c>
      <c r="I567" s="21" t="s">
        <v>39</v>
      </c>
      <c r="J567" s="11">
        <v>300000.0</v>
      </c>
      <c r="K567" s="21" t="s">
        <v>25</v>
      </c>
      <c r="L567" s="25">
        <v>43487.0</v>
      </c>
      <c r="M567" s="31" t="s">
        <v>2043</v>
      </c>
      <c r="N567" s="21"/>
      <c r="O567" s="15">
        <f t="shared" si="1"/>
        <v>2019</v>
      </c>
      <c r="P567" s="16" t="str">
        <f t="shared" si="2"/>
        <v>USD</v>
      </c>
      <c r="Q567" s="15">
        <f>IFERROR(__xludf.DUMMYFUNCTION("IFNA(INDEX(GOOGLEFINANCE(""Currency:USD""&amp;$P567,""price"",DATE(YEAR($L567),MONTH($L567),DAY($L567))),2,2),LOOKUP(P567,CurrencyCodes,UnitsPerUSD))"),1.0)</f>
        <v>1</v>
      </c>
      <c r="R567" s="17">
        <f t="shared" si="3"/>
        <v>300000</v>
      </c>
    </row>
    <row r="568">
      <c r="A568" s="7">
        <v>43926.1583762963</v>
      </c>
      <c r="B568" s="18" t="s">
        <v>18</v>
      </c>
      <c r="C568" s="19">
        <v>1480.0</v>
      </c>
      <c r="D568" s="18" t="s">
        <v>2044</v>
      </c>
      <c r="E568" s="18" t="s">
        <v>2045</v>
      </c>
      <c r="F568" s="18" t="s">
        <v>1756</v>
      </c>
      <c r="G568" s="9">
        <v>49345.0</v>
      </c>
      <c r="H568" s="21" t="s">
        <v>1173</v>
      </c>
      <c r="I568" s="21" t="s">
        <v>39</v>
      </c>
      <c r="J568" s="11">
        <v>100000.0</v>
      </c>
      <c r="K568" s="21" t="s">
        <v>25</v>
      </c>
      <c r="L568" s="25">
        <v>38365.0</v>
      </c>
      <c r="M568" s="28" t="s">
        <v>2046</v>
      </c>
      <c r="N568" s="12" t="s">
        <v>2047</v>
      </c>
      <c r="O568" s="15">
        <f t="shared" si="1"/>
        <v>2005</v>
      </c>
      <c r="P568" s="16" t="str">
        <f t="shared" si="2"/>
        <v>USD</v>
      </c>
      <c r="Q568" s="15">
        <f>IFERROR(__xludf.DUMMYFUNCTION("IFNA(INDEX(GOOGLEFINANCE(""Currency:USD""&amp;$P568,""price"",DATE(YEAR($L568),MONTH($L568),DAY($L568))),2,2),LOOKUP(P568,CurrencyCodes,UnitsPerUSD))"),1.0)</f>
        <v>1</v>
      </c>
      <c r="R568" s="17">
        <f t="shared" si="3"/>
        <v>100000</v>
      </c>
    </row>
    <row r="569">
      <c r="A569" s="7">
        <v>43926.14888403935</v>
      </c>
      <c r="B569" s="18" t="s">
        <v>18</v>
      </c>
      <c r="C569" s="19">
        <v>255.0</v>
      </c>
      <c r="D569" s="18" t="s">
        <v>2048</v>
      </c>
      <c r="E569" s="18" t="s">
        <v>2049</v>
      </c>
      <c r="F569" s="18" t="s">
        <v>1756</v>
      </c>
      <c r="G569" s="9">
        <v>48659.0</v>
      </c>
      <c r="H569" s="21" t="s">
        <v>1173</v>
      </c>
      <c r="I569" s="21" t="s">
        <v>39</v>
      </c>
      <c r="J569" s="11">
        <v>80000.0</v>
      </c>
      <c r="K569" s="21" t="s">
        <v>25</v>
      </c>
      <c r="L569" s="25">
        <v>43487.0</v>
      </c>
      <c r="M569" s="14" t="s">
        <v>2050</v>
      </c>
      <c r="N569" s="10"/>
      <c r="O569" s="15">
        <f t="shared" si="1"/>
        <v>2019</v>
      </c>
      <c r="P569" s="16" t="str">
        <f t="shared" si="2"/>
        <v>USD</v>
      </c>
      <c r="Q569" s="15">
        <f>IFERROR(__xludf.DUMMYFUNCTION("IFNA(INDEX(GOOGLEFINANCE(""Currency:USD""&amp;$P569,""price"",DATE(YEAR($L569),MONTH($L569),DAY($L569))),2,2),LOOKUP(P569,CurrencyCodes,UnitsPerUSD))"),1.0)</f>
        <v>1</v>
      </c>
      <c r="R569" s="17">
        <f t="shared" si="3"/>
        <v>80000</v>
      </c>
    </row>
    <row r="570">
      <c r="A570" s="7">
        <v>43926.145624895835</v>
      </c>
      <c r="B570" s="18" t="s">
        <v>18</v>
      </c>
      <c r="C570" s="19">
        <v>13399.0</v>
      </c>
      <c r="D570" s="18" t="s">
        <v>2051</v>
      </c>
      <c r="E570" s="18" t="s">
        <v>2052</v>
      </c>
      <c r="F570" s="18" t="s">
        <v>1756</v>
      </c>
      <c r="G570" s="9">
        <v>48312.0</v>
      </c>
      <c r="H570" s="21" t="s">
        <v>1173</v>
      </c>
      <c r="I570" s="21" t="s">
        <v>39</v>
      </c>
      <c r="J570" s="11">
        <v>163000.0</v>
      </c>
      <c r="K570" s="21" t="s">
        <v>25</v>
      </c>
      <c r="L570" s="25">
        <v>40372.0</v>
      </c>
      <c r="M570" s="24" t="s">
        <v>2053</v>
      </c>
      <c r="N570" s="27" t="s">
        <v>2054</v>
      </c>
      <c r="O570" s="15">
        <f t="shared" si="1"/>
        <v>2010</v>
      </c>
      <c r="P570" s="16" t="str">
        <f t="shared" si="2"/>
        <v>USD</v>
      </c>
      <c r="Q570" s="15">
        <f>IFERROR(__xludf.DUMMYFUNCTION("IFNA(INDEX(GOOGLEFINANCE(""Currency:USD""&amp;$P570,""price"",DATE(YEAR($L570),MONTH($L570),DAY($L570))),2,2),LOOKUP(P570,CurrencyCodes,UnitsPerUSD))"),1.0)</f>
        <v>1</v>
      </c>
      <c r="R570" s="17">
        <f t="shared" si="3"/>
        <v>163000</v>
      </c>
    </row>
    <row r="571">
      <c r="A571" s="7">
        <v>43926.13629068287</v>
      </c>
      <c r="B571" s="18" t="s">
        <v>18</v>
      </c>
      <c r="C571" s="9">
        <v>13108.0</v>
      </c>
      <c r="D571" s="8" t="s">
        <v>2055</v>
      </c>
      <c r="E571" s="18" t="s">
        <v>2056</v>
      </c>
      <c r="F571" s="8" t="s">
        <v>1756</v>
      </c>
      <c r="G571" s="19">
        <v>49093.0</v>
      </c>
      <c r="H571" s="21" t="s">
        <v>1173</v>
      </c>
      <c r="I571" s="21" t="s">
        <v>39</v>
      </c>
      <c r="J571" s="11">
        <v>0.0</v>
      </c>
      <c r="K571" s="27" t="s">
        <v>25</v>
      </c>
      <c r="L571" s="22"/>
      <c r="M571" s="28" t="s">
        <v>2057</v>
      </c>
      <c r="N571" s="27" t="s">
        <v>2058</v>
      </c>
      <c r="O571" s="15" t="str">
        <f t="shared" si="1"/>
        <v>Unknown</v>
      </c>
      <c r="P571" s="16" t="str">
        <f t="shared" si="2"/>
        <v>USD</v>
      </c>
      <c r="Q571" s="15">
        <f>IFERROR(__xludf.DUMMYFUNCTION("IFNA(INDEX(GOOGLEFINANCE(""Currency:USD""&amp;$P571,""price"",DATE(YEAR($L571),MONTH($L571),DAY($L571))),2,2),LOOKUP(P571,CurrencyCodes,UnitsPerUSD))"),1.0)</f>
        <v>1</v>
      </c>
      <c r="R571" s="17">
        <f t="shared" si="3"/>
        <v>0</v>
      </c>
    </row>
    <row r="572">
      <c r="A572" s="7">
        <v>43926.124170613424</v>
      </c>
      <c r="B572" s="18" t="s">
        <v>18</v>
      </c>
      <c r="C572" s="9">
        <v>11829.0</v>
      </c>
      <c r="D572" s="8" t="s">
        <v>2059</v>
      </c>
      <c r="E572" s="18" t="s">
        <v>2060</v>
      </c>
      <c r="F572" s="18" t="s">
        <v>1756</v>
      </c>
      <c r="G572" s="19">
        <v>49795.0</v>
      </c>
      <c r="H572" s="21" t="s">
        <v>1173</v>
      </c>
      <c r="I572" s="21" t="s">
        <v>24</v>
      </c>
      <c r="J572" s="11">
        <v>114900.0</v>
      </c>
      <c r="K572" s="21" t="s">
        <v>25</v>
      </c>
      <c r="L572" s="25">
        <v>43873.0</v>
      </c>
      <c r="M572" s="31" t="s">
        <v>2061</v>
      </c>
      <c r="N572" s="10"/>
      <c r="O572" s="15">
        <f t="shared" si="1"/>
        <v>2020</v>
      </c>
      <c r="P572" s="16" t="str">
        <f t="shared" si="2"/>
        <v>USD</v>
      </c>
      <c r="Q572" s="15">
        <f>IFERROR(__xludf.DUMMYFUNCTION("IFNA(INDEX(GOOGLEFINANCE(""Currency:USD""&amp;$P572,""price"",DATE(YEAR($L572),MONTH($L572),DAY($L572))),2,2),LOOKUP(P572,CurrencyCodes,UnitsPerUSD))"),1.0)</f>
        <v>1</v>
      </c>
      <c r="R572" s="17">
        <f t="shared" si="3"/>
        <v>114900</v>
      </c>
    </row>
    <row r="573">
      <c r="A573" s="7">
        <v>43919.63352002315</v>
      </c>
      <c r="B573" s="8" t="s">
        <v>18</v>
      </c>
      <c r="C573" s="9">
        <v>15029.0</v>
      </c>
      <c r="D573" s="8" t="s">
        <v>2062</v>
      </c>
      <c r="E573" s="8" t="s">
        <v>2063</v>
      </c>
      <c r="F573" s="8" t="s">
        <v>1756</v>
      </c>
      <c r="G573" s="9">
        <v>49097.0</v>
      </c>
      <c r="H573" s="10" t="s">
        <v>1173</v>
      </c>
      <c r="I573" s="10" t="s">
        <v>39</v>
      </c>
      <c r="J573" s="11">
        <v>121000.0</v>
      </c>
      <c r="K573" s="10" t="s">
        <v>25</v>
      </c>
      <c r="L573" s="25">
        <v>43609.0</v>
      </c>
      <c r="M573" s="28" t="s">
        <v>2064</v>
      </c>
      <c r="N573" s="12" t="s">
        <v>2065</v>
      </c>
      <c r="O573" s="15">
        <f t="shared" si="1"/>
        <v>2019</v>
      </c>
      <c r="P573" s="16" t="str">
        <f t="shared" si="2"/>
        <v>USD</v>
      </c>
      <c r="Q573" s="15">
        <f>IFERROR(__xludf.DUMMYFUNCTION("IFNA(INDEX(GOOGLEFINANCE(""Currency:USD""&amp;$P573,""price"",DATE(YEAR($L573),MONTH($L573),DAY($L573))),2,2),LOOKUP(P573,CurrencyCodes,UnitsPerUSD))"),1.0)</f>
        <v>1</v>
      </c>
      <c r="R573" s="17">
        <f t="shared" si="3"/>
        <v>121000</v>
      </c>
    </row>
    <row r="574">
      <c r="A574" s="7">
        <v>43926.10019936343</v>
      </c>
      <c r="B574" s="8" t="s">
        <v>18</v>
      </c>
      <c r="C574" s="9"/>
      <c r="D574" s="8" t="s">
        <v>2066</v>
      </c>
      <c r="E574" s="8" t="s">
        <v>2063</v>
      </c>
      <c r="F574" s="8" t="s">
        <v>1756</v>
      </c>
      <c r="G574" s="9">
        <v>49097.0</v>
      </c>
      <c r="H574" s="10" t="s">
        <v>1173</v>
      </c>
      <c r="I574" s="10" t="s">
        <v>39</v>
      </c>
      <c r="J574" s="11">
        <v>0.0</v>
      </c>
      <c r="K574" s="12" t="s">
        <v>25</v>
      </c>
      <c r="L574" s="13"/>
      <c r="M574" s="10"/>
      <c r="N574" s="10"/>
      <c r="O574" s="15" t="str">
        <f t="shared" si="1"/>
        <v>Unknown</v>
      </c>
      <c r="P574" s="16" t="str">
        <f t="shared" si="2"/>
        <v>USD</v>
      </c>
      <c r="Q574" s="15">
        <f>IFERROR(__xludf.DUMMYFUNCTION("IFNA(INDEX(GOOGLEFINANCE(""Currency:USD""&amp;$P574,""price"",DATE(YEAR($L574),MONTH($L574),DAY($L574))),2,2),LOOKUP(P574,CurrencyCodes,UnitsPerUSD))"),1.0)</f>
        <v>1</v>
      </c>
      <c r="R574" s="17">
        <f t="shared" si="3"/>
        <v>0</v>
      </c>
    </row>
    <row r="575">
      <c r="A575" s="7">
        <v>43926.08170314815</v>
      </c>
      <c r="B575" s="8" t="s">
        <v>18</v>
      </c>
      <c r="C575" s="9">
        <v>690.0</v>
      </c>
      <c r="D575" s="8" t="s">
        <v>2067</v>
      </c>
      <c r="E575" s="8" t="s">
        <v>2068</v>
      </c>
      <c r="F575" s="8" t="s">
        <v>1756</v>
      </c>
      <c r="G575" s="9">
        <v>48661.0</v>
      </c>
      <c r="H575" s="10" t="s">
        <v>1173</v>
      </c>
      <c r="I575" s="10" t="s">
        <v>39</v>
      </c>
      <c r="J575" s="11">
        <v>93000.0</v>
      </c>
      <c r="K575" s="12" t="s">
        <v>25</v>
      </c>
      <c r="L575" s="13"/>
      <c r="M575" s="28" t="s">
        <v>2069</v>
      </c>
      <c r="N575" s="10" t="s">
        <v>2070</v>
      </c>
      <c r="O575" s="15" t="str">
        <f t="shared" si="1"/>
        <v>Unknown</v>
      </c>
      <c r="P575" s="16" t="str">
        <f t="shared" si="2"/>
        <v>USD</v>
      </c>
      <c r="Q575" s="15">
        <f>IFERROR(__xludf.DUMMYFUNCTION("IFNA(INDEX(GOOGLEFINANCE(""Currency:USD""&amp;$P575,""price"",DATE(YEAR($L575),MONTH($L575),DAY($L575))),2,2),LOOKUP(P575,CurrencyCodes,UnitsPerUSD))"),1.0)</f>
        <v>1</v>
      </c>
      <c r="R575" s="17">
        <f t="shared" si="3"/>
        <v>93000</v>
      </c>
    </row>
    <row r="576">
      <c r="A576" s="7">
        <v>43926.072752719905</v>
      </c>
      <c r="B576" s="8" t="s">
        <v>18</v>
      </c>
      <c r="C576" s="9">
        <v>501.0</v>
      </c>
      <c r="D576" s="8" t="s">
        <v>2071</v>
      </c>
      <c r="E576" s="8" t="s">
        <v>2072</v>
      </c>
      <c r="F576" s="8" t="s">
        <v>1756</v>
      </c>
      <c r="G576" s="9">
        <v>49198.0</v>
      </c>
      <c r="H576" s="10" t="s">
        <v>1173</v>
      </c>
      <c r="I576" s="10" t="s">
        <v>39</v>
      </c>
      <c r="J576" s="11">
        <v>303000.0</v>
      </c>
      <c r="K576" s="10" t="s">
        <v>25</v>
      </c>
      <c r="L576" s="25">
        <v>38694.0</v>
      </c>
      <c r="M576" s="28" t="s">
        <v>2073</v>
      </c>
      <c r="N576" s="10" t="s">
        <v>2074</v>
      </c>
      <c r="O576" s="15">
        <f t="shared" si="1"/>
        <v>2005</v>
      </c>
      <c r="P576" s="16" t="str">
        <f t="shared" si="2"/>
        <v>USD</v>
      </c>
      <c r="Q576" s="15">
        <f>IFERROR(__xludf.DUMMYFUNCTION("IFNA(INDEX(GOOGLEFINANCE(""Currency:USD""&amp;$P576,""price"",DATE(YEAR($L576),MONTH($L576),DAY($L576))),2,2),LOOKUP(P576,CurrencyCodes,UnitsPerUSD))"),1.0)</f>
        <v>1</v>
      </c>
      <c r="R576" s="17">
        <f t="shared" si="3"/>
        <v>303000</v>
      </c>
    </row>
    <row r="577">
      <c r="A577" s="7">
        <v>44006.37531688657</v>
      </c>
      <c r="B577" s="18" t="s">
        <v>18</v>
      </c>
      <c r="C577" s="19">
        <v>2311.0</v>
      </c>
      <c r="D577" s="18" t="s">
        <v>2075</v>
      </c>
      <c r="E577" s="18" t="s">
        <v>2076</v>
      </c>
      <c r="F577" s="18" t="s">
        <v>2077</v>
      </c>
      <c r="G577" s="19">
        <v>56721.0</v>
      </c>
      <c r="H577" s="21" t="s">
        <v>1173</v>
      </c>
      <c r="I577" s="21" t="s">
        <v>24</v>
      </c>
      <c r="J577" s="11">
        <v>599900.0</v>
      </c>
      <c r="K577" s="27" t="s">
        <v>25</v>
      </c>
      <c r="L577" s="13"/>
      <c r="M577" s="24" t="s">
        <v>2078</v>
      </c>
      <c r="N577" s="12" t="s">
        <v>2079</v>
      </c>
      <c r="O577" s="15" t="str">
        <f t="shared" si="1"/>
        <v>Unknown</v>
      </c>
      <c r="P577" s="16" t="str">
        <f t="shared" si="2"/>
        <v>USD</v>
      </c>
      <c r="Q577" s="15">
        <f>IFERROR(__xludf.DUMMYFUNCTION("IFNA(INDEX(GOOGLEFINANCE(""Currency:USD""&amp;$P577,""price"",DATE(YEAR($L577),MONTH($L577),DAY($L577))),2,2),LOOKUP(P577,CurrencyCodes,UnitsPerUSD))"),1.0)</f>
        <v>1</v>
      </c>
      <c r="R577" s="17">
        <f t="shared" si="3"/>
        <v>599900</v>
      </c>
    </row>
    <row r="578">
      <c r="A578" s="7">
        <v>43904.778925983795</v>
      </c>
      <c r="B578" s="18" t="s">
        <v>18</v>
      </c>
      <c r="C578" s="19">
        <v>2618.0</v>
      </c>
      <c r="D578" s="18" t="s">
        <v>2080</v>
      </c>
      <c r="E578" s="18" t="s">
        <v>2081</v>
      </c>
      <c r="F578" s="18" t="s">
        <v>2077</v>
      </c>
      <c r="G578" s="19">
        <v>55021.0</v>
      </c>
      <c r="H578" s="21" t="s">
        <v>1173</v>
      </c>
      <c r="I578" s="21" t="s">
        <v>39</v>
      </c>
      <c r="J578" s="11">
        <v>329900.0</v>
      </c>
      <c r="K578" s="27" t="s">
        <v>25</v>
      </c>
      <c r="L578" s="22"/>
      <c r="M578" s="31" t="s">
        <v>2082</v>
      </c>
      <c r="N578" s="21"/>
      <c r="O578" s="15" t="str">
        <f t="shared" si="1"/>
        <v>Unknown</v>
      </c>
      <c r="P578" s="16" t="str">
        <f t="shared" si="2"/>
        <v>USD</v>
      </c>
      <c r="Q578" s="15">
        <f>IFERROR(__xludf.DUMMYFUNCTION("IFNA(INDEX(GOOGLEFINANCE(""Currency:USD""&amp;$P578,""price"",DATE(YEAR($L578),MONTH($L578),DAY($L578))),2,2),LOOKUP(P578,CurrencyCodes,UnitsPerUSD))"),1.0)</f>
        <v>1</v>
      </c>
      <c r="R578" s="17">
        <f t="shared" si="3"/>
        <v>329900</v>
      </c>
    </row>
    <row r="579">
      <c r="A579" s="7">
        <v>43993.993452905095</v>
      </c>
      <c r="B579" s="18" t="s">
        <v>18</v>
      </c>
      <c r="C579" s="19">
        <v>1950.0</v>
      </c>
      <c r="D579" s="18" t="s">
        <v>2083</v>
      </c>
      <c r="E579" s="18" t="s">
        <v>2084</v>
      </c>
      <c r="F579" s="18" t="s">
        <v>2077</v>
      </c>
      <c r="G579" s="19">
        <v>55422.0</v>
      </c>
      <c r="H579" s="21" t="s">
        <v>1173</v>
      </c>
      <c r="I579" s="21" t="s">
        <v>39</v>
      </c>
      <c r="J579" s="11">
        <v>540000.0</v>
      </c>
      <c r="K579" s="21" t="s">
        <v>25</v>
      </c>
      <c r="L579" s="25">
        <v>43070.0</v>
      </c>
      <c r="M579" s="24" t="s">
        <v>2085</v>
      </c>
      <c r="N579" s="12" t="s">
        <v>2086</v>
      </c>
      <c r="O579" s="15">
        <f t="shared" si="1"/>
        <v>2017</v>
      </c>
      <c r="P579" s="16" t="str">
        <f t="shared" si="2"/>
        <v>USD</v>
      </c>
      <c r="Q579" s="15">
        <f>IFERROR(__xludf.DUMMYFUNCTION("IFNA(INDEX(GOOGLEFINANCE(""Currency:USD""&amp;$P579,""price"",DATE(YEAR($L579),MONTH($L579),DAY($L579))),2,2),LOOKUP(P579,CurrencyCodes,UnitsPerUSD))"),1.0)</f>
        <v>1</v>
      </c>
      <c r="R579" s="17">
        <f t="shared" si="3"/>
        <v>540000</v>
      </c>
    </row>
    <row r="580">
      <c r="A580" s="7">
        <v>43906.873614930555</v>
      </c>
      <c r="B580" s="8" t="s">
        <v>18</v>
      </c>
      <c r="C580" s="9">
        <v>267.0</v>
      </c>
      <c r="D580" s="8" t="s">
        <v>2087</v>
      </c>
      <c r="E580" s="8" t="s">
        <v>2088</v>
      </c>
      <c r="F580" s="8" t="s">
        <v>2077</v>
      </c>
      <c r="G580" s="9">
        <v>55350.0</v>
      </c>
      <c r="H580" s="10" t="s">
        <v>1173</v>
      </c>
      <c r="I580" s="10" t="s">
        <v>39</v>
      </c>
      <c r="J580" s="11">
        <v>0.0</v>
      </c>
      <c r="K580" s="12" t="s">
        <v>25</v>
      </c>
      <c r="L580" s="22"/>
      <c r="M580" s="10"/>
      <c r="N580" s="12" t="s">
        <v>2089</v>
      </c>
      <c r="O580" s="15" t="str">
        <f t="shared" si="1"/>
        <v>Unknown</v>
      </c>
      <c r="P580" s="16" t="str">
        <f t="shared" si="2"/>
        <v>USD</v>
      </c>
      <c r="Q580" s="15">
        <f>IFERROR(__xludf.DUMMYFUNCTION("IFNA(INDEX(GOOGLEFINANCE(""Currency:USD""&amp;$P580,""price"",DATE(YEAR($L580),MONTH($L580),DAY($L580))),2,2),LOOKUP(P580,CurrencyCodes,UnitsPerUSD))"),1.0)</f>
        <v>1</v>
      </c>
      <c r="R580" s="17">
        <f t="shared" si="3"/>
        <v>0</v>
      </c>
    </row>
    <row r="581">
      <c r="A581" s="7">
        <v>43904.66293038194</v>
      </c>
      <c r="B581" s="18" t="s">
        <v>18</v>
      </c>
      <c r="C581" s="19">
        <v>15037.0</v>
      </c>
      <c r="D581" s="18" t="s">
        <v>2090</v>
      </c>
      <c r="E581" s="18" t="s">
        <v>2091</v>
      </c>
      <c r="F581" s="18" t="s">
        <v>2092</v>
      </c>
      <c r="G581" s="19">
        <v>65625.0</v>
      </c>
      <c r="H581" s="21" t="s">
        <v>1173</v>
      </c>
      <c r="I581" s="21" t="s">
        <v>24</v>
      </c>
      <c r="J581" s="11">
        <v>209000.0</v>
      </c>
      <c r="K581" s="27" t="s">
        <v>25</v>
      </c>
      <c r="L581" s="22"/>
      <c r="M581" s="24" t="s">
        <v>2093</v>
      </c>
      <c r="N581" s="27" t="s">
        <v>2094</v>
      </c>
      <c r="O581" s="15" t="str">
        <f t="shared" si="1"/>
        <v>Unknown</v>
      </c>
      <c r="P581" s="16" t="str">
        <f t="shared" si="2"/>
        <v>USD</v>
      </c>
      <c r="Q581" s="15">
        <f>IFERROR(__xludf.DUMMYFUNCTION("IFNA(INDEX(GOOGLEFINANCE(""Currency:USD""&amp;$P581,""price"",DATE(YEAR($L581),MONTH($L581),DAY($L581))),2,2),LOOKUP(P581,CurrencyCodes,UnitsPerUSD))"),1.0)</f>
        <v>1</v>
      </c>
      <c r="R581" s="17">
        <f t="shared" si="3"/>
        <v>209000</v>
      </c>
    </row>
    <row r="582">
      <c r="A582" s="7">
        <v>43907.82448780093</v>
      </c>
      <c r="B582" s="18" t="s">
        <v>18</v>
      </c>
      <c r="C582" s="19">
        <v>821.0</v>
      </c>
      <c r="D582" s="18" t="s">
        <v>2095</v>
      </c>
      <c r="E582" s="18" t="s">
        <v>2096</v>
      </c>
      <c r="F582" s="18" t="s">
        <v>2092</v>
      </c>
      <c r="G582" s="19">
        <v>65101.0</v>
      </c>
      <c r="H582" s="21" t="s">
        <v>1173</v>
      </c>
      <c r="I582" s="21" t="s">
        <v>39</v>
      </c>
      <c r="J582" s="11">
        <v>198000.0</v>
      </c>
      <c r="K582" s="21" t="s">
        <v>25</v>
      </c>
      <c r="L582" s="25">
        <v>43376.0</v>
      </c>
      <c r="M582" s="24" t="s">
        <v>2097</v>
      </c>
      <c r="N582" s="10" t="s">
        <v>2098</v>
      </c>
      <c r="O582" s="15">
        <f t="shared" si="1"/>
        <v>2018</v>
      </c>
      <c r="P582" s="16" t="str">
        <f t="shared" si="2"/>
        <v>USD</v>
      </c>
      <c r="Q582" s="15">
        <f>IFERROR(__xludf.DUMMYFUNCTION("IFNA(INDEX(GOOGLEFINANCE(""Currency:USD""&amp;$P582,""price"",DATE(YEAR($L582),MONTH($L582),DAY($L582))),2,2),LOOKUP(P582,CurrencyCodes,UnitsPerUSD))"),1.0)</f>
        <v>1</v>
      </c>
      <c r="R582" s="17">
        <f t="shared" si="3"/>
        <v>198000</v>
      </c>
    </row>
    <row r="583">
      <c r="A583" s="7">
        <v>43912.48165940972</v>
      </c>
      <c r="B583" s="18" t="s">
        <v>18</v>
      </c>
      <c r="C583" s="19">
        <v>115.0</v>
      </c>
      <c r="D583" s="18" t="s">
        <v>2099</v>
      </c>
      <c r="E583" s="18" t="s">
        <v>1593</v>
      </c>
      <c r="F583" s="18" t="s">
        <v>2092</v>
      </c>
      <c r="G583" s="19">
        <v>63011.0</v>
      </c>
      <c r="H583" s="21" t="s">
        <v>1173</v>
      </c>
      <c r="I583" s="21" t="s">
        <v>24</v>
      </c>
      <c r="J583" s="11">
        <v>620000.0</v>
      </c>
      <c r="K583" s="21" t="s">
        <v>25</v>
      </c>
      <c r="L583" s="25">
        <v>43775.0</v>
      </c>
      <c r="M583" s="24" t="s">
        <v>2100</v>
      </c>
      <c r="N583" s="12" t="s">
        <v>2101</v>
      </c>
      <c r="O583" s="15">
        <f t="shared" si="1"/>
        <v>2019</v>
      </c>
      <c r="P583" s="16" t="str">
        <f t="shared" si="2"/>
        <v>USD</v>
      </c>
      <c r="Q583" s="15">
        <f>IFERROR(__xludf.DUMMYFUNCTION("IFNA(INDEX(GOOGLEFINANCE(""Currency:USD""&amp;$P583,""price"",DATE(YEAR($L583),MONTH($L583),DAY($L583))),2,2),LOOKUP(P583,CurrencyCodes,UnitsPerUSD))"),1.0)</f>
        <v>1</v>
      </c>
      <c r="R583" s="17">
        <f t="shared" si="3"/>
        <v>620000</v>
      </c>
    </row>
    <row r="584">
      <c r="A584" s="7">
        <v>43932.27604215278</v>
      </c>
      <c r="B584" s="18" t="s">
        <v>18</v>
      </c>
      <c r="C584" s="9">
        <v>195.0</v>
      </c>
      <c r="D584" s="18" t="s">
        <v>2102</v>
      </c>
      <c r="E584" s="18" t="s">
        <v>2103</v>
      </c>
      <c r="F584" s="26" t="s">
        <v>2104</v>
      </c>
      <c r="G584" s="9">
        <v>59912.0</v>
      </c>
      <c r="H584" s="21" t="s">
        <v>1173</v>
      </c>
      <c r="I584" s="21" t="s">
        <v>39</v>
      </c>
      <c r="J584" s="11">
        <v>0.0</v>
      </c>
      <c r="K584" s="27" t="s">
        <v>25</v>
      </c>
      <c r="L584" s="22"/>
      <c r="M584" s="21"/>
      <c r="N584" s="21" t="s">
        <v>2105</v>
      </c>
      <c r="O584" s="15" t="str">
        <f t="shared" si="1"/>
        <v>Unknown</v>
      </c>
      <c r="P584" s="16" t="str">
        <f t="shared" si="2"/>
        <v>USD</v>
      </c>
      <c r="Q584" s="15">
        <f>IFERROR(__xludf.DUMMYFUNCTION("IFNA(INDEX(GOOGLEFINANCE(""Currency:USD""&amp;$P584,""price"",DATE(YEAR($L584),MONTH($L584),DAY($L584))),2,2),LOOKUP(P584,CurrencyCodes,UnitsPerUSD))"),1.0)</f>
        <v>1</v>
      </c>
      <c r="R584" s="17">
        <f t="shared" si="3"/>
        <v>0</v>
      </c>
    </row>
    <row r="585">
      <c r="A585" s="7">
        <v>43914.82010115741</v>
      </c>
      <c r="B585" s="18" t="s">
        <v>18</v>
      </c>
      <c r="C585" s="19">
        <v>1303.0</v>
      </c>
      <c r="D585" s="18" t="s">
        <v>2106</v>
      </c>
      <c r="E585" s="18" t="s">
        <v>2107</v>
      </c>
      <c r="F585" s="18" t="s">
        <v>2108</v>
      </c>
      <c r="G585" s="19">
        <v>38652.0</v>
      </c>
      <c r="H585" s="21" t="s">
        <v>1173</v>
      </c>
      <c r="I585" s="21" t="s">
        <v>24</v>
      </c>
      <c r="J585" s="11">
        <v>120000.0</v>
      </c>
      <c r="K585" s="21" t="s">
        <v>25</v>
      </c>
      <c r="L585" s="25">
        <v>43722.0</v>
      </c>
      <c r="M585" s="24" t="s">
        <v>2109</v>
      </c>
      <c r="N585" s="33" t="s">
        <v>713</v>
      </c>
      <c r="O585" s="15">
        <f t="shared" si="1"/>
        <v>2019</v>
      </c>
      <c r="P585" s="16" t="str">
        <f t="shared" si="2"/>
        <v>USD</v>
      </c>
      <c r="Q585" s="15">
        <f>IFERROR(__xludf.DUMMYFUNCTION("IFNA(INDEX(GOOGLEFINANCE(""Currency:USD""&amp;$P585,""price"",DATE(YEAR($L585),MONTH($L585),DAY($L585))),2,2),LOOKUP(P585,CurrencyCodes,UnitsPerUSD))"),1.0)</f>
        <v>1</v>
      </c>
      <c r="R585" s="17">
        <f t="shared" si="3"/>
        <v>120000</v>
      </c>
    </row>
    <row r="586">
      <c r="A586" s="7">
        <v>43974.445066203705</v>
      </c>
      <c r="B586" s="8" t="s">
        <v>18</v>
      </c>
      <c r="C586" s="9">
        <v>926.0</v>
      </c>
      <c r="D586" s="8" t="s">
        <v>2110</v>
      </c>
      <c r="E586" s="8" t="s">
        <v>2111</v>
      </c>
      <c r="F586" s="8" t="s">
        <v>2104</v>
      </c>
      <c r="G586" s="9">
        <v>59404.0</v>
      </c>
      <c r="H586" s="10" t="s">
        <v>1173</v>
      </c>
      <c r="I586" s="10" t="s">
        <v>24</v>
      </c>
      <c r="J586" s="11">
        <v>236500.0</v>
      </c>
      <c r="K586" s="10" t="s">
        <v>25</v>
      </c>
      <c r="L586" s="25">
        <v>43844.0</v>
      </c>
      <c r="M586" s="14" t="s">
        <v>2112</v>
      </c>
      <c r="N586" s="10"/>
      <c r="O586" s="15">
        <f t="shared" si="1"/>
        <v>2020</v>
      </c>
      <c r="P586" s="16" t="str">
        <f t="shared" si="2"/>
        <v>USD</v>
      </c>
      <c r="Q586" s="15">
        <f>IFERROR(__xludf.DUMMYFUNCTION("IFNA(INDEX(GOOGLEFINANCE(""Currency:USD""&amp;$P586,""price"",DATE(YEAR($L586),MONTH($L586),DAY($L586))),2,2),LOOKUP(P586,CurrencyCodes,UnitsPerUSD))"),1.0)</f>
        <v>1</v>
      </c>
      <c r="R586" s="17">
        <f t="shared" si="3"/>
        <v>236500</v>
      </c>
    </row>
    <row r="587">
      <c r="A587" s="7">
        <v>43919.572997372685</v>
      </c>
      <c r="B587" s="18" t="s">
        <v>18</v>
      </c>
      <c r="C587" s="19">
        <v>32719.0</v>
      </c>
      <c r="D587" s="18" t="s">
        <v>2113</v>
      </c>
      <c r="E587" s="18" t="s">
        <v>2114</v>
      </c>
      <c r="F587" s="18" t="s">
        <v>2104</v>
      </c>
      <c r="G587" s="19">
        <v>59865.0</v>
      </c>
      <c r="H587" s="21" t="s">
        <v>1173</v>
      </c>
      <c r="I587" s="21" t="s">
        <v>24</v>
      </c>
      <c r="J587" s="11">
        <v>229000.0</v>
      </c>
      <c r="K587" s="21" t="s">
        <v>25</v>
      </c>
      <c r="L587" s="25">
        <v>43748.0</v>
      </c>
      <c r="M587" s="24" t="s">
        <v>2115</v>
      </c>
      <c r="N587" s="12" t="s">
        <v>2116</v>
      </c>
      <c r="O587" s="15">
        <f t="shared" si="1"/>
        <v>2019</v>
      </c>
      <c r="P587" s="16" t="str">
        <f t="shared" si="2"/>
        <v>USD</v>
      </c>
      <c r="Q587" s="15">
        <f>IFERROR(__xludf.DUMMYFUNCTION("IFNA(INDEX(GOOGLEFINANCE(""Currency:USD""&amp;$P587,""price"",DATE(YEAR($L587),MONTH($L587),DAY($L587))),2,2),LOOKUP(P587,CurrencyCodes,UnitsPerUSD))"),1.0)</f>
        <v>1</v>
      </c>
      <c r="R587" s="17">
        <f t="shared" si="3"/>
        <v>229000</v>
      </c>
    </row>
    <row r="588">
      <c r="A588" s="7">
        <v>43898.5641946875</v>
      </c>
      <c r="B588" s="18" t="s">
        <v>18</v>
      </c>
      <c r="C588" s="19">
        <v>635.0</v>
      </c>
      <c r="D588" s="18" t="s">
        <v>2117</v>
      </c>
      <c r="E588" s="18" t="s">
        <v>2118</v>
      </c>
      <c r="F588" s="18" t="s">
        <v>2119</v>
      </c>
      <c r="G588" s="19"/>
      <c r="H588" s="21" t="s">
        <v>1173</v>
      </c>
      <c r="I588" s="21" t="s">
        <v>39</v>
      </c>
      <c r="J588" s="11">
        <v>136000.0</v>
      </c>
      <c r="K588" s="21" t="s">
        <v>25</v>
      </c>
      <c r="L588" s="25">
        <v>43566.0</v>
      </c>
      <c r="M588" s="31" t="s">
        <v>2120</v>
      </c>
      <c r="N588" s="21"/>
      <c r="O588" s="15">
        <f t="shared" si="1"/>
        <v>2019</v>
      </c>
      <c r="P588" s="16" t="str">
        <f t="shared" si="2"/>
        <v>USD</v>
      </c>
      <c r="Q588" s="15">
        <f>IFERROR(__xludf.DUMMYFUNCTION("IFNA(INDEX(GOOGLEFINANCE(""Currency:USD""&amp;$P588,""price"",DATE(YEAR($L588),MONTH($L588),DAY($L588))),2,2),LOOKUP(P588,CurrencyCodes,UnitsPerUSD))"),1.0)</f>
        <v>1</v>
      </c>
      <c r="R588" s="17">
        <f t="shared" si="3"/>
        <v>136000</v>
      </c>
    </row>
    <row r="589">
      <c r="A589" s="7">
        <v>43897.591564409726</v>
      </c>
      <c r="B589" s="18" t="s">
        <v>18</v>
      </c>
      <c r="C589" s="19">
        <v>1445.0</v>
      </c>
      <c r="D589" s="18" t="s">
        <v>2121</v>
      </c>
      <c r="E589" s="18" t="s">
        <v>2122</v>
      </c>
      <c r="F589" s="8" t="s">
        <v>2119</v>
      </c>
      <c r="G589" s="19"/>
      <c r="H589" s="21" t="s">
        <v>1173</v>
      </c>
      <c r="I589" s="21" t="s">
        <v>39</v>
      </c>
      <c r="J589" s="11">
        <v>0.0</v>
      </c>
      <c r="K589" s="27" t="s">
        <v>25</v>
      </c>
      <c r="L589" s="22"/>
      <c r="M589" s="21"/>
      <c r="N589" s="10"/>
      <c r="O589" s="15" t="str">
        <f t="shared" si="1"/>
        <v>Unknown</v>
      </c>
      <c r="P589" s="16" t="str">
        <f t="shared" si="2"/>
        <v>USD</v>
      </c>
      <c r="Q589" s="15">
        <f>IFERROR(__xludf.DUMMYFUNCTION("IFNA(INDEX(GOOGLEFINANCE(""Currency:USD""&amp;$P589,""price"",DATE(YEAR($L589),MONTH($L589),DAY($L589))),2,2),LOOKUP(P589,CurrencyCodes,UnitsPerUSD))"),1.0)</f>
        <v>1</v>
      </c>
      <c r="R589" s="17">
        <f t="shared" si="3"/>
        <v>0</v>
      </c>
    </row>
    <row r="590">
      <c r="A590" s="7">
        <v>43905.91829699074</v>
      </c>
      <c r="B590" s="18" t="s">
        <v>18</v>
      </c>
      <c r="C590" s="19">
        <v>635.0</v>
      </c>
      <c r="D590" s="18" t="s">
        <v>2117</v>
      </c>
      <c r="E590" s="18" t="s">
        <v>2123</v>
      </c>
      <c r="F590" s="18" t="s">
        <v>2119</v>
      </c>
      <c r="G590" s="19">
        <v>27263.0</v>
      </c>
      <c r="H590" s="21" t="s">
        <v>1173</v>
      </c>
      <c r="I590" s="21" t="s">
        <v>39</v>
      </c>
      <c r="J590" s="11">
        <v>136000.0</v>
      </c>
      <c r="K590" s="21" t="s">
        <v>25</v>
      </c>
      <c r="L590" s="25">
        <v>43566.0</v>
      </c>
      <c r="M590" s="31" t="s">
        <v>2124</v>
      </c>
      <c r="N590" s="21"/>
      <c r="O590" s="15">
        <f t="shared" si="1"/>
        <v>2019</v>
      </c>
      <c r="P590" s="16" t="str">
        <f t="shared" si="2"/>
        <v>USD</v>
      </c>
      <c r="Q590" s="15">
        <f>IFERROR(__xludf.DUMMYFUNCTION("IFNA(INDEX(GOOGLEFINANCE(""Currency:USD""&amp;$P590,""price"",DATE(YEAR($L590),MONTH($L590),DAY($L590))),2,2),LOOKUP(P590,CurrencyCodes,UnitsPerUSD))"),1.0)</f>
        <v>1</v>
      </c>
      <c r="R590" s="17">
        <f t="shared" si="3"/>
        <v>136000</v>
      </c>
    </row>
    <row r="591">
      <c r="A591" s="7">
        <v>43974.469747511575</v>
      </c>
      <c r="B591" s="8" t="s">
        <v>18</v>
      </c>
      <c r="C591" s="9">
        <v>116.0</v>
      </c>
      <c r="D591" s="8" t="s">
        <v>2125</v>
      </c>
      <c r="E591" s="8" t="s">
        <v>2126</v>
      </c>
      <c r="F591" s="8" t="s">
        <v>2119</v>
      </c>
      <c r="G591" s="9">
        <v>27320.0</v>
      </c>
      <c r="H591" s="10" t="s">
        <v>1173</v>
      </c>
      <c r="I591" s="10" t="s">
        <v>24</v>
      </c>
      <c r="J591" s="11">
        <v>299000.0</v>
      </c>
      <c r="K591" s="10" t="s">
        <v>25</v>
      </c>
      <c r="L591" s="25">
        <v>43899.0</v>
      </c>
      <c r="M591" s="14" t="s">
        <v>2127</v>
      </c>
      <c r="N591" s="10"/>
      <c r="O591" s="15">
        <f t="shared" si="1"/>
        <v>2020</v>
      </c>
      <c r="P591" s="16" t="str">
        <f t="shared" si="2"/>
        <v>USD</v>
      </c>
      <c r="Q591" s="15">
        <f>IFERROR(__xludf.DUMMYFUNCTION("IFNA(INDEX(GOOGLEFINANCE(""Currency:USD""&amp;$P591,""price"",DATE(YEAR($L591),MONTH($L591),DAY($L591))),2,2),LOOKUP(P591,CurrencyCodes,UnitsPerUSD))"),1.0)</f>
        <v>1</v>
      </c>
      <c r="R591" s="17">
        <f t="shared" si="3"/>
        <v>299000</v>
      </c>
    </row>
    <row r="592">
      <c r="A592" s="7">
        <v>43919.63825945602</v>
      </c>
      <c r="B592" s="18" t="s">
        <v>18</v>
      </c>
      <c r="C592" s="19">
        <v>2237.0</v>
      </c>
      <c r="D592" s="18" t="s">
        <v>2128</v>
      </c>
      <c r="E592" s="18" t="s">
        <v>2129</v>
      </c>
      <c r="F592" s="18" t="s">
        <v>2119</v>
      </c>
      <c r="G592" s="9">
        <v>27886.0</v>
      </c>
      <c r="H592" s="21" t="s">
        <v>1173</v>
      </c>
      <c r="I592" s="21" t="s">
        <v>39</v>
      </c>
      <c r="J592" s="11">
        <v>275000.0</v>
      </c>
      <c r="K592" s="21" t="s">
        <v>25</v>
      </c>
      <c r="L592" s="25">
        <v>40982.0</v>
      </c>
      <c r="M592" s="31" t="s">
        <v>2130</v>
      </c>
      <c r="N592" s="21"/>
      <c r="O592" s="15">
        <f t="shared" si="1"/>
        <v>2012</v>
      </c>
      <c r="P592" s="16" t="str">
        <f t="shared" si="2"/>
        <v>USD</v>
      </c>
      <c r="Q592" s="15">
        <f>IFERROR(__xludf.DUMMYFUNCTION("IFNA(INDEX(GOOGLEFINANCE(""Currency:USD""&amp;$P592,""price"",DATE(YEAR($L592),MONTH($L592),DAY($L592))),2,2),LOOKUP(P592,CurrencyCodes,UnitsPerUSD))"),1.0)</f>
        <v>1</v>
      </c>
      <c r="R592" s="17">
        <f t="shared" si="3"/>
        <v>275000</v>
      </c>
    </row>
    <row r="593">
      <c r="A593" s="7">
        <v>44064.08506673611</v>
      </c>
      <c r="B593" s="8" t="s">
        <v>18</v>
      </c>
      <c r="C593" s="9"/>
      <c r="D593" s="8"/>
      <c r="E593" s="8" t="s">
        <v>2131</v>
      </c>
      <c r="F593" s="26" t="s">
        <v>2132</v>
      </c>
      <c r="G593" s="9">
        <v>87532.0</v>
      </c>
      <c r="H593" s="10" t="s">
        <v>1173</v>
      </c>
      <c r="I593" s="10" t="s">
        <v>24</v>
      </c>
      <c r="J593" s="11">
        <v>0.0</v>
      </c>
      <c r="K593" s="12" t="s">
        <v>25</v>
      </c>
      <c r="L593" s="13"/>
      <c r="M593" s="10"/>
      <c r="N593" s="10"/>
      <c r="O593" s="15" t="str">
        <f t="shared" si="1"/>
        <v>Unknown</v>
      </c>
      <c r="P593" s="16" t="str">
        <f t="shared" si="2"/>
        <v>USD</v>
      </c>
      <c r="Q593" s="15">
        <f>IFERROR(__xludf.DUMMYFUNCTION("IFNA(INDEX(GOOGLEFINANCE(""Currency:USD""&amp;$P593,""price"",DATE(YEAR($L593),MONTH($L593),DAY($L593))),2,2),LOOKUP(P593,CurrencyCodes,UnitsPerUSD))"),1.0)</f>
        <v>1</v>
      </c>
      <c r="R593" s="17">
        <f t="shared" si="3"/>
        <v>0</v>
      </c>
    </row>
    <row r="594">
      <c r="A594" s="7">
        <v>43972.99808422454</v>
      </c>
      <c r="B594" s="8" t="s">
        <v>18</v>
      </c>
      <c r="C594" s="9">
        <v>28.0</v>
      </c>
      <c r="D594" s="8" t="s">
        <v>2133</v>
      </c>
      <c r="E594" s="8" t="s">
        <v>2134</v>
      </c>
      <c r="F594" s="8" t="s">
        <v>2135</v>
      </c>
      <c r="G594" s="29" t="s">
        <v>2136</v>
      </c>
      <c r="H594" s="10" t="s">
        <v>1173</v>
      </c>
      <c r="I594" s="10" t="s">
        <v>24</v>
      </c>
      <c r="J594" s="11">
        <v>699000.0</v>
      </c>
      <c r="K594" s="12" t="s">
        <v>25</v>
      </c>
      <c r="L594" s="13"/>
      <c r="M594" s="14" t="s">
        <v>2137</v>
      </c>
      <c r="N594" s="10"/>
      <c r="O594" s="15" t="str">
        <f t="shared" si="1"/>
        <v>Unknown</v>
      </c>
      <c r="P594" s="16" t="str">
        <f t="shared" si="2"/>
        <v>USD</v>
      </c>
      <c r="Q594" s="15">
        <f>IFERROR(__xludf.DUMMYFUNCTION("IFNA(INDEX(GOOGLEFINANCE(""Currency:USD""&amp;$P594,""price"",DATE(YEAR($L594),MONTH($L594),DAY($L594))),2,2),LOOKUP(P594,CurrencyCodes,UnitsPerUSD))"),1.0)</f>
        <v>1</v>
      </c>
      <c r="R594" s="17">
        <f t="shared" si="3"/>
        <v>699000</v>
      </c>
    </row>
    <row r="595">
      <c r="A595" s="7">
        <v>43900.893574965274</v>
      </c>
      <c r="B595" s="18" t="s">
        <v>18</v>
      </c>
      <c r="C595" s="19">
        <v>160.0</v>
      </c>
      <c r="D595" s="18" t="s">
        <v>2138</v>
      </c>
      <c r="E595" s="18" t="s">
        <v>2139</v>
      </c>
      <c r="F595" s="18" t="s">
        <v>2135</v>
      </c>
      <c r="G595" s="29" t="s">
        <v>2140</v>
      </c>
      <c r="H595" s="21" t="s">
        <v>1173</v>
      </c>
      <c r="I595" s="21" t="s">
        <v>39</v>
      </c>
      <c r="J595" s="11">
        <v>313000.0</v>
      </c>
      <c r="K595" s="21" t="s">
        <v>25</v>
      </c>
      <c r="L595" s="25">
        <v>43644.0</v>
      </c>
      <c r="M595" s="28" t="s">
        <v>2141</v>
      </c>
      <c r="N595" s="10" t="s">
        <v>2142</v>
      </c>
      <c r="O595" s="15">
        <f t="shared" si="1"/>
        <v>2019</v>
      </c>
      <c r="P595" s="16" t="str">
        <f t="shared" si="2"/>
        <v>USD</v>
      </c>
      <c r="Q595" s="15">
        <f>IFERROR(__xludf.DUMMYFUNCTION("IFNA(INDEX(GOOGLEFINANCE(""Currency:USD""&amp;$P595,""price"",DATE(YEAR($L595),MONTH($L595),DAY($L595))),2,2),LOOKUP(P595,CurrencyCodes,UnitsPerUSD))"),1.0)</f>
        <v>1</v>
      </c>
      <c r="R595" s="17">
        <f t="shared" si="3"/>
        <v>313000</v>
      </c>
    </row>
    <row r="596">
      <c r="A596" s="7">
        <v>43934.22668337963</v>
      </c>
      <c r="B596" s="8" t="s">
        <v>18</v>
      </c>
      <c r="C596" s="9">
        <v>416.0</v>
      </c>
      <c r="D596" s="8" t="s">
        <v>2143</v>
      </c>
      <c r="E596" s="8" t="s">
        <v>2144</v>
      </c>
      <c r="F596" s="8" t="s">
        <v>2135</v>
      </c>
      <c r="G596" s="29" t="s">
        <v>2145</v>
      </c>
      <c r="H596" s="10" t="s">
        <v>1173</v>
      </c>
      <c r="I596" s="10" t="s">
        <v>39</v>
      </c>
      <c r="J596" s="11">
        <v>125000.0</v>
      </c>
      <c r="K596" s="10" t="s">
        <v>25</v>
      </c>
      <c r="L596" s="25">
        <v>43643.0</v>
      </c>
      <c r="M596" s="28" t="s">
        <v>2146</v>
      </c>
      <c r="N596" s="10" t="s">
        <v>2147</v>
      </c>
      <c r="O596" s="15">
        <f t="shared" si="1"/>
        <v>2019</v>
      </c>
      <c r="P596" s="16" t="str">
        <f t="shared" si="2"/>
        <v>USD</v>
      </c>
      <c r="Q596" s="15">
        <f>IFERROR(__xludf.DUMMYFUNCTION("IFNA(INDEX(GOOGLEFINANCE(""Currency:USD""&amp;$P596,""price"",DATE(YEAR($L596),MONTH($L596),DAY($L596))),2,2),LOOKUP(P596,CurrencyCodes,UnitsPerUSD))"),1.0)</f>
        <v>1</v>
      </c>
      <c r="R596" s="17">
        <f t="shared" si="3"/>
        <v>125000</v>
      </c>
    </row>
    <row r="597">
      <c r="A597" s="7">
        <v>44010.44927207176</v>
      </c>
      <c r="B597" s="8" t="s">
        <v>18</v>
      </c>
      <c r="C597" s="9">
        <v>116.0</v>
      </c>
      <c r="D597" s="8" t="s">
        <v>2148</v>
      </c>
      <c r="E597" s="8" t="s">
        <v>2149</v>
      </c>
      <c r="F597" s="8" t="s">
        <v>2135</v>
      </c>
      <c r="G597" s="29" t="s">
        <v>2150</v>
      </c>
      <c r="H597" s="10" t="s">
        <v>1173</v>
      </c>
      <c r="I597" s="10" t="s">
        <v>39</v>
      </c>
      <c r="J597" s="11">
        <v>750000.0</v>
      </c>
      <c r="K597" s="10" t="s">
        <v>25</v>
      </c>
      <c r="L597" s="25">
        <v>43294.0</v>
      </c>
      <c r="M597" s="28" t="s">
        <v>2151</v>
      </c>
      <c r="N597" s="12" t="s">
        <v>2152</v>
      </c>
      <c r="O597" s="15">
        <f t="shared" si="1"/>
        <v>2018</v>
      </c>
      <c r="P597" s="16" t="str">
        <f t="shared" si="2"/>
        <v>USD</v>
      </c>
      <c r="Q597" s="15">
        <f>IFERROR(__xludf.DUMMYFUNCTION("IFNA(INDEX(GOOGLEFINANCE(""Currency:USD""&amp;$P597,""price"",DATE(YEAR($L597),MONTH($L597),DAY($L597))),2,2),LOOKUP(P597,CurrencyCodes,UnitsPerUSD))"),1.0)</f>
        <v>1</v>
      </c>
      <c r="R597" s="17">
        <f t="shared" si="3"/>
        <v>750000</v>
      </c>
    </row>
    <row r="598">
      <c r="A598" s="7">
        <v>43934.39734069444</v>
      </c>
      <c r="B598" s="18" t="s">
        <v>18</v>
      </c>
      <c r="C598" s="19">
        <v>23.0</v>
      </c>
      <c r="D598" s="18" t="s">
        <v>2153</v>
      </c>
      <c r="E598" s="18" t="s">
        <v>2149</v>
      </c>
      <c r="F598" s="18" t="s">
        <v>2135</v>
      </c>
      <c r="G598" s="32" t="s">
        <v>2154</v>
      </c>
      <c r="H598" s="21" t="s">
        <v>1173</v>
      </c>
      <c r="I598" s="21" t="s">
        <v>39</v>
      </c>
      <c r="J598" s="11">
        <v>0.0</v>
      </c>
      <c r="K598" s="27" t="s">
        <v>25</v>
      </c>
      <c r="L598" s="22"/>
      <c r="M598" s="24" t="s">
        <v>2155</v>
      </c>
      <c r="N598" s="21" t="s">
        <v>2156</v>
      </c>
      <c r="O598" s="15" t="str">
        <f t="shared" si="1"/>
        <v>Unknown</v>
      </c>
      <c r="P598" s="16" t="str">
        <f t="shared" si="2"/>
        <v>USD</v>
      </c>
      <c r="Q598" s="15">
        <f>IFERROR(__xludf.DUMMYFUNCTION("IFNA(INDEX(GOOGLEFINANCE(""Currency:USD""&amp;$P598,""price"",DATE(YEAR($L598),MONTH($L598),DAY($L598))),2,2),LOOKUP(P598,CurrencyCodes,UnitsPerUSD))"),1.0)</f>
        <v>1</v>
      </c>
      <c r="R598" s="17">
        <f t="shared" si="3"/>
        <v>0</v>
      </c>
    </row>
    <row r="599">
      <c r="A599" s="7">
        <v>43934.39932755787</v>
      </c>
      <c r="B599" s="8" t="s">
        <v>18</v>
      </c>
      <c r="C599" s="9">
        <v>50.0</v>
      </c>
      <c r="D599" s="8" t="s">
        <v>2157</v>
      </c>
      <c r="E599" s="8" t="s">
        <v>2158</v>
      </c>
      <c r="F599" s="8" t="s">
        <v>2135</v>
      </c>
      <c r="G599" s="29" t="s">
        <v>2159</v>
      </c>
      <c r="H599" s="10" t="s">
        <v>1173</v>
      </c>
      <c r="I599" s="10" t="s">
        <v>39</v>
      </c>
      <c r="J599" s="11">
        <v>0.0</v>
      </c>
      <c r="K599" s="12" t="s">
        <v>25</v>
      </c>
      <c r="L599" s="22"/>
      <c r="M599" s="10"/>
      <c r="N599" s="10" t="s">
        <v>2160</v>
      </c>
      <c r="O599" s="15" t="str">
        <f t="shared" si="1"/>
        <v>Unknown</v>
      </c>
      <c r="P599" s="16" t="str">
        <f t="shared" si="2"/>
        <v>USD</v>
      </c>
      <c r="Q599" s="15">
        <f>IFERROR(__xludf.DUMMYFUNCTION("IFNA(INDEX(GOOGLEFINANCE(""Currency:USD""&amp;$P599,""price"",DATE(YEAR($L599),MONTH($L599),DAY($L599))),2,2),LOOKUP(P599,CurrencyCodes,UnitsPerUSD))"),1.0)</f>
        <v>1</v>
      </c>
      <c r="R599" s="17">
        <f t="shared" si="3"/>
        <v>0</v>
      </c>
    </row>
    <row r="600">
      <c r="A600" s="7">
        <v>43912.489541076386</v>
      </c>
      <c r="B600" s="18" t="s">
        <v>18</v>
      </c>
      <c r="C600" s="19">
        <v>212.0</v>
      </c>
      <c r="D600" s="18" t="s">
        <v>2161</v>
      </c>
      <c r="E600" s="18" t="s">
        <v>2162</v>
      </c>
      <c r="F600" s="18" t="s">
        <v>2135</v>
      </c>
      <c r="G600" s="32" t="s">
        <v>2163</v>
      </c>
      <c r="H600" s="21" t="s">
        <v>1173</v>
      </c>
      <c r="I600" s="21" t="s">
        <v>39</v>
      </c>
      <c r="J600" s="11">
        <v>312500.0</v>
      </c>
      <c r="K600" s="21" t="s">
        <v>25</v>
      </c>
      <c r="L600" s="25">
        <v>43234.0</v>
      </c>
      <c r="M600" s="31" t="s">
        <v>2164</v>
      </c>
      <c r="N600" s="10"/>
      <c r="O600" s="15">
        <f t="shared" si="1"/>
        <v>2018</v>
      </c>
      <c r="P600" s="16" t="str">
        <f t="shared" si="2"/>
        <v>USD</v>
      </c>
      <c r="Q600" s="15">
        <f>IFERROR(__xludf.DUMMYFUNCTION("IFNA(INDEX(GOOGLEFINANCE(""Currency:USD""&amp;$P600,""price"",DATE(YEAR($L600),MONTH($L600),DAY($L600))),2,2),LOOKUP(P600,CurrencyCodes,UnitsPerUSD))"),1.0)</f>
        <v>1</v>
      </c>
      <c r="R600" s="17">
        <f t="shared" si="3"/>
        <v>312500</v>
      </c>
    </row>
    <row r="601">
      <c r="A601" s="7">
        <v>43934.40168564815</v>
      </c>
      <c r="B601" s="18" t="s">
        <v>18</v>
      </c>
      <c r="C601" s="19">
        <v>821.0</v>
      </c>
      <c r="D601" s="18" t="s">
        <v>2165</v>
      </c>
      <c r="E601" s="18" t="s">
        <v>2166</v>
      </c>
      <c r="F601" s="18" t="s">
        <v>2135</v>
      </c>
      <c r="G601" s="29" t="s">
        <v>2167</v>
      </c>
      <c r="H601" s="21" t="s">
        <v>1173</v>
      </c>
      <c r="I601" s="21" t="s">
        <v>39</v>
      </c>
      <c r="J601" s="11">
        <v>215000.0</v>
      </c>
      <c r="K601" s="21" t="s">
        <v>25</v>
      </c>
      <c r="L601" s="25">
        <v>43399.0</v>
      </c>
      <c r="M601" s="14" t="s">
        <v>2168</v>
      </c>
      <c r="N601" s="10"/>
      <c r="O601" s="15">
        <f t="shared" si="1"/>
        <v>2018</v>
      </c>
      <c r="P601" s="16" t="str">
        <f t="shared" si="2"/>
        <v>USD</v>
      </c>
      <c r="Q601" s="15">
        <f>IFERROR(__xludf.DUMMYFUNCTION("IFNA(INDEX(GOOGLEFINANCE(""Currency:USD""&amp;$P601,""price"",DATE(YEAR($L601),MONTH($L601),DAY($L601))),2,2),LOOKUP(P601,CurrencyCodes,UnitsPerUSD))"),1.0)</f>
        <v>1</v>
      </c>
      <c r="R601" s="17">
        <f t="shared" si="3"/>
        <v>215000</v>
      </c>
    </row>
    <row r="602">
      <c r="A602" s="7">
        <v>43934.256103576394</v>
      </c>
      <c r="B602" s="18" t="s">
        <v>18</v>
      </c>
      <c r="C602" s="19">
        <v>121.0</v>
      </c>
      <c r="D602" s="18" t="s">
        <v>2169</v>
      </c>
      <c r="E602" s="18" t="s">
        <v>221</v>
      </c>
      <c r="F602" s="18" t="s">
        <v>2135</v>
      </c>
      <c r="G602" s="32" t="s">
        <v>2170</v>
      </c>
      <c r="H602" s="21" t="s">
        <v>1173</v>
      </c>
      <c r="I602" s="21" t="s">
        <v>39</v>
      </c>
      <c r="J602" s="11">
        <v>850000.0</v>
      </c>
      <c r="K602" s="21" t="s">
        <v>25</v>
      </c>
      <c r="L602" s="25">
        <v>43178.0</v>
      </c>
      <c r="M602" s="14" t="s">
        <v>2171</v>
      </c>
      <c r="N602" s="10"/>
      <c r="O602" s="15">
        <f t="shared" si="1"/>
        <v>2018</v>
      </c>
      <c r="P602" s="16" t="str">
        <f t="shared" si="2"/>
        <v>USD</v>
      </c>
      <c r="Q602" s="15">
        <f>IFERROR(__xludf.DUMMYFUNCTION("IFNA(INDEX(GOOGLEFINANCE(""Currency:USD""&amp;$P602,""price"",DATE(YEAR($L602),MONTH($L602),DAY($L602))),2,2),LOOKUP(P602,CurrencyCodes,UnitsPerUSD))"),1.0)</f>
        <v>1</v>
      </c>
      <c r="R602" s="17">
        <f t="shared" si="3"/>
        <v>850000</v>
      </c>
    </row>
    <row r="603">
      <c r="A603" s="7">
        <v>43918.54869334491</v>
      </c>
      <c r="B603" s="18" t="s">
        <v>18</v>
      </c>
      <c r="C603" s="19">
        <v>42.0</v>
      </c>
      <c r="D603" s="18" t="s">
        <v>2172</v>
      </c>
      <c r="E603" s="18" t="s">
        <v>2173</v>
      </c>
      <c r="F603" s="18" t="s">
        <v>2135</v>
      </c>
      <c r="G603" s="32" t="s">
        <v>2174</v>
      </c>
      <c r="H603" s="21" t="s">
        <v>1173</v>
      </c>
      <c r="I603" s="21" t="s">
        <v>39</v>
      </c>
      <c r="J603" s="11">
        <v>625000.0</v>
      </c>
      <c r="K603" s="21" t="s">
        <v>25</v>
      </c>
      <c r="L603" s="25">
        <v>43270.0</v>
      </c>
      <c r="M603" s="31" t="s">
        <v>2175</v>
      </c>
      <c r="N603" s="10"/>
      <c r="O603" s="15">
        <f t="shared" si="1"/>
        <v>2018</v>
      </c>
      <c r="P603" s="16" t="str">
        <f t="shared" si="2"/>
        <v>USD</v>
      </c>
      <c r="Q603" s="15">
        <f>IFERROR(__xludf.DUMMYFUNCTION("IFNA(INDEX(GOOGLEFINANCE(""Currency:USD""&amp;$P603,""price"",DATE(YEAR($L603),MONTH($L603),DAY($L603))),2,2),LOOKUP(P603,CurrencyCodes,UnitsPerUSD))"),1.0)</f>
        <v>1</v>
      </c>
      <c r="R603" s="17">
        <f t="shared" si="3"/>
        <v>625000</v>
      </c>
    </row>
    <row r="604">
      <c r="A604" s="7">
        <v>43933.23391016204</v>
      </c>
      <c r="B604" s="18" t="s">
        <v>18</v>
      </c>
      <c r="C604" s="19">
        <v>8812.0</v>
      </c>
      <c r="D604" s="18" t="s">
        <v>2176</v>
      </c>
      <c r="E604" s="18" t="s">
        <v>2177</v>
      </c>
      <c r="F604" s="8" t="s">
        <v>2132</v>
      </c>
      <c r="G604" s="19">
        <v>87114.0</v>
      </c>
      <c r="H604" s="21" t="s">
        <v>1173</v>
      </c>
      <c r="I604" s="21" t="s">
        <v>39</v>
      </c>
      <c r="J604" s="11">
        <v>0.0</v>
      </c>
      <c r="K604" s="21" t="s">
        <v>25</v>
      </c>
      <c r="L604" s="25">
        <v>40247.0</v>
      </c>
      <c r="M604" s="24" t="s">
        <v>2178</v>
      </c>
      <c r="N604" s="12" t="s">
        <v>2179</v>
      </c>
      <c r="O604" s="15">
        <f t="shared" si="1"/>
        <v>2010</v>
      </c>
      <c r="P604" s="16" t="str">
        <f t="shared" si="2"/>
        <v>USD</v>
      </c>
      <c r="Q604" s="15">
        <f>IFERROR(__xludf.DUMMYFUNCTION("IFNA(INDEX(GOOGLEFINANCE(""Currency:USD""&amp;$P604,""price"",DATE(YEAR($L604),MONTH($L604),DAY($L604))),2,2),LOOKUP(P604,CurrencyCodes,UnitsPerUSD))"),1.0)</f>
        <v>1</v>
      </c>
      <c r="R604" s="17">
        <f t="shared" si="3"/>
        <v>0</v>
      </c>
    </row>
    <row r="605">
      <c r="A605" s="7">
        <v>43928.330651122684</v>
      </c>
      <c r="B605" s="18" t="s">
        <v>18</v>
      </c>
      <c r="C605" s="19">
        <v>1700.0</v>
      </c>
      <c r="D605" s="18" t="s">
        <v>2180</v>
      </c>
      <c r="E605" s="18" t="s">
        <v>2177</v>
      </c>
      <c r="F605" s="18" t="s">
        <v>2132</v>
      </c>
      <c r="G605" s="19">
        <v>87105.0</v>
      </c>
      <c r="H605" s="21" t="s">
        <v>1173</v>
      </c>
      <c r="I605" s="21" t="s">
        <v>39</v>
      </c>
      <c r="J605" s="11">
        <v>0.0</v>
      </c>
      <c r="K605" s="21" t="s">
        <v>25</v>
      </c>
      <c r="L605" s="25">
        <v>40122.0</v>
      </c>
      <c r="M605" s="24" t="s">
        <v>2181</v>
      </c>
      <c r="N605" s="10" t="s">
        <v>2182</v>
      </c>
      <c r="O605" s="15">
        <f t="shared" si="1"/>
        <v>2009</v>
      </c>
      <c r="P605" s="16" t="str">
        <f t="shared" si="2"/>
        <v>USD</v>
      </c>
      <c r="Q605" s="15">
        <f>IFERROR(__xludf.DUMMYFUNCTION("IFNA(INDEX(GOOGLEFINANCE(""Currency:USD""&amp;$P605,""price"",DATE(YEAR($L605),MONTH($L605),DAY($L605))),2,2),LOOKUP(P605,CurrencyCodes,UnitsPerUSD))"),1.0)</f>
        <v>1</v>
      </c>
      <c r="R605" s="17">
        <f t="shared" si="3"/>
        <v>0</v>
      </c>
    </row>
    <row r="606">
      <c r="A606" s="7">
        <v>43897.54406637732</v>
      </c>
      <c r="B606" s="18" t="s">
        <v>18</v>
      </c>
      <c r="C606" s="19">
        <v>3301.0</v>
      </c>
      <c r="D606" s="18" t="s">
        <v>2183</v>
      </c>
      <c r="E606" s="18" t="s">
        <v>2184</v>
      </c>
      <c r="F606" s="18" t="s">
        <v>2132</v>
      </c>
      <c r="G606" s="19"/>
      <c r="H606" s="21" t="s">
        <v>1173</v>
      </c>
      <c r="I606" s="21" t="s">
        <v>39</v>
      </c>
      <c r="J606" s="11">
        <v>0.0</v>
      </c>
      <c r="K606" s="27" t="s">
        <v>25</v>
      </c>
      <c r="L606" s="22"/>
      <c r="M606" s="21"/>
      <c r="N606" s="21"/>
      <c r="O606" s="15" t="str">
        <f t="shared" si="1"/>
        <v>Unknown</v>
      </c>
      <c r="P606" s="16" t="str">
        <f t="shared" si="2"/>
        <v>USD</v>
      </c>
      <c r="Q606" s="15">
        <f>IFERROR(__xludf.DUMMYFUNCTION("IFNA(INDEX(GOOGLEFINANCE(""Currency:USD""&amp;$P606,""price"",DATE(YEAR($L606),MONTH($L606),DAY($L606))),2,2),LOOKUP(P606,CurrencyCodes,UnitsPerUSD))"),1.0)</f>
        <v>1</v>
      </c>
      <c r="R606" s="17">
        <f t="shared" si="3"/>
        <v>0</v>
      </c>
    </row>
    <row r="607">
      <c r="A607" s="7">
        <v>43933.244763055554</v>
      </c>
      <c r="B607" s="18" t="s">
        <v>18</v>
      </c>
      <c r="C607" s="19">
        <v>502.0</v>
      </c>
      <c r="D607" s="18" t="s">
        <v>2185</v>
      </c>
      <c r="E607" s="18" t="s">
        <v>2184</v>
      </c>
      <c r="F607" s="18" t="s">
        <v>2132</v>
      </c>
      <c r="G607" s="19">
        <v>88220.0</v>
      </c>
      <c r="H607" s="21" t="s">
        <v>1173</v>
      </c>
      <c r="I607" s="21" t="s">
        <v>39</v>
      </c>
      <c r="J607" s="11">
        <v>265000.0</v>
      </c>
      <c r="K607" s="21" t="s">
        <v>25</v>
      </c>
      <c r="L607" s="25">
        <v>42880.0</v>
      </c>
      <c r="M607" s="24" t="s">
        <v>2186</v>
      </c>
      <c r="N607" s="21" t="s">
        <v>2187</v>
      </c>
      <c r="O607" s="15">
        <f t="shared" si="1"/>
        <v>2017</v>
      </c>
      <c r="P607" s="16" t="str">
        <f t="shared" si="2"/>
        <v>USD</v>
      </c>
      <c r="Q607" s="15">
        <f>IFERROR(__xludf.DUMMYFUNCTION("IFNA(INDEX(GOOGLEFINANCE(""Currency:USD""&amp;$P607,""price"",DATE(YEAR($L607),MONTH($L607),DAY($L607))),2,2),LOOKUP(P607,CurrencyCodes,UnitsPerUSD))"),1.0)</f>
        <v>1</v>
      </c>
      <c r="R607" s="17">
        <f t="shared" si="3"/>
        <v>265000</v>
      </c>
    </row>
    <row r="608">
      <c r="A608" s="7">
        <v>43933.24876858796</v>
      </c>
      <c r="B608" s="18" t="s">
        <v>18</v>
      </c>
      <c r="C608" s="19">
        <v>800.0</v>
      </c>
      <c r="D608" s="18" t="s">
        <v>2188</v>
      </c>
      <c r="E608" s="18" t="s">
        <v>2189</v>
      </c>
      <c r="F608" s="18" t="s">
        <v>2132</v>
      </c>
      <c r="G608" s="19">
        <v>87401.0</v>
      </c>
      <c r="H608" s="21" t="s">
        <v>1173</v>
      </c>
      <c r="I608" s="21" t="s">
        <v>39</v>
      </c>
      <c r="J608" s="11">
        <v>0.0</v>
      </c>
      <c r="K608" s="27" t="s">
        <v>25</v>
      </c>
      <c r="L608" s="22"/>
      <c r="M608" s="24" t="s">
        <v>2190</v>
      </c>
      <c r="N608" s="21" t="s">
        <v>2191</v>
      </c>
      <c r="O608" s="15" t="str">
        <f t="shared" si="1"/>
        <v>Unknown</v>
      </c>
      <c r="P608" s="16" t="str">
        <f t="shared" si="2"/>
        <v>USD</v>
      </c>
      <c r="Q608" s="15">
        <f>IFERROR(__xludf.DUMMYFUNCTION("IFNA(INDEX(GOOGLEFINANCE(""Currency:USD""&amp;$P608,""price"",DATE(YEAR($L608),MONTH($L608),DAY($L608))),2,2),LOOKUP(P608,CurrencyCodes,UnitsPerUSD))"),1.0)</f>
        <v>1</v>
      </c>
      <c r="R608" s="17">
        <f t="shared" si="3"/>
        <v>0</v>
      </c>
    </row>
    <row r="609">
      <c r="A609" s="7">
        <v>43917.90771652778</v>
      </c>
      <c r="B609" s="18" t="s">
        <v>18</v>
      </c>
      <c r="C609" s="19">
        <v>312.0</v>
      </c>
      <c r="D609" s="18" t="s">
        <v>2192</v>
      </c>
      <c r="E609" s="18" t="s">
        <v>2193</v>
      </c>
      <c r="F609" s="18" t="s">
        <v>2132</v>
      </c>
      <c r="G609" s="9">
        <v>87124.0</v>
      </c>
      <c r="H609" s="21" t="s">
        <v>1173</v>
      </c>
      <c r="I609" s="21" t="s">
        <v>39</v>
      </c>
      <c r="J609" s="11">
        <v>849000.0</v>
      </c>
      <c r="K609" s="21" t="s">
        <v>25</v>
      </c>
      <c r="L609" s="25">
        <v>43101.0</v>
      </c>
      <c r="M609" s="28" t="s">
        <v>2194</v>
      </c>
      <c r="N609" s="27" t="s">
        <v>2195</v>
      </c>
      <c r="O609" s="15">
        <f t="shared" si="1"/>
        <v>2018</v>
      </c>
      <c r="P609" s="16" t="str">
        <f t="shared" si="2"/>
        <v>USD</v>
      </c>
      <c r="Q609" s="15">
        <f>IFERROR(__xludf.DUMMYFUNCTION("IFNA(INDEX(GOOGLEFINANCE(""Currency:USD""&amp;$P609,""price"",DATE(YEAR($L609),MONTH($L609),DAY($L609))),2,2),LOOKUP(P609,CurrencyCodes,UnitsPerUSD))"),1.0)</f>
        <v>1</v>
      </c>
      <c r="R609" s="17">
        <f t="shared" si="3"/>
        <v>849000</v>
      </c>
    </row>
    <row r="610">
      <c r="A610" s="7">
        <v>43933.254076921294</v>
      </c>
      <c r="B610" s="8" t="s">
        <v>18</v>
      </c>
      <c r="C610" s="9">
        <v>1800.0</v>
      </c>
      <c r="D610" s="8" t="s">
        <v>2196</v>
      </c>
      <c r="E610" s="8" t="s">
        <v>2197</v>
      </c>
      <c r="F610" s="8" t="s">
        <v>2132</v>
      </c>
      <c r="G610" s="9">
        <v>88203.0</v>
      </c>
      <c r="H610" s="10" t="s">
        <v>1173</v>
      </c>
      <c r="I610" s="10" t="s">
        <v>39</v>
      </c>
      <c r="J610" s="11">
        <v>97000.0</v>
      </c>
      <c r="K610" s="10" t="s">
        <v>25</v>
      </c>
      <c r="L610" s="25">
        <v>39417.0</v>
      </c>
      <c r="M610" s="28" t="s">
        <v>2198</v>
      </c>
      <c r="N610" s="10" t="s">
        <v>2199</v>
      </c>
      <c r="O610" s="15">
        <f t="shared" si="1"/>
        <v>2007</v>
      </c>
      <c r="P610" s="16" t="str">
        <f t="shared" si="2"/>
        <v>USD</v>
      </c>
      <c r="Q610" s="15">
        <f>IFERROR(__xludf.DUMMYFUNCTION("IFNA(INDEX(GOOGLEFINANCE(""Currency:USD""&amp;$P610,""price"",DATE(YEAR($L610),MONTH($L610),DAY($L610))),2,2),LOOKUP(P610,CurrencyCodes,UnitsPerUSD))"),1.0)</f>
        <v>1</v>
      </c>
      <c r="R610" s="17">
        <f t="shared" si="3"/>
        <v>97000</v>
      </c>
    </row>
    <row r="611">
      <c r="A611" s="7">
        <v>43933.25799462963</v>
      </c>
      <c r="B611" s="18" t="s">
        <v>18</v>
      </c>
      <c r="C611" s="19">
        <v>106.0</v>
      </c>
      <c r="D611" s="18" t="s">
        <v>2200</v>
      </c>
      <c r="E611" s="18" t="s">
        <v>2201</v>
      </c>
      <c r="F611" s="18" t="s">
        <v>2132</v>
      </c>
      <c r="G611" s="19">
        <v>88345.0</v>
      </c>
      <c r="H611" s="21" t="s">
        <v>1173</v>
      </c>
      <c r="I611" s="21" t="s">
        <v>39</v>
      </c>
      <c r="J611" s="11">
        <v>299000.0</v>
      </c>
      <c r="K611" s="21" t="s">
        <v>25</v>
      </c>
      <c r="L611" s="25">
        <v>41817.0</v>
      </c>
      <c r="M611" s="24" t="s">
        <v>2202</v>
      </c>
      <c r="N611" s="27" t="s">
        <v>2203</v>
      </c>
      <c r="O611" s="15">
        <f t="shared" si="1"/>
        <v>2014</v>
      </c>
      <c r="P611" s="16" t="str">
        <f t="shared" si="2"/>
        <v>USD</v>
      </c>
      <c r="Q611" s="15">
        <f>IFERROR(__xludf.DUMMYFUNCTION("IFNA(INDEX(GOOGLEFINANCE(""Currency:USD""&amp;$P611,""price"",DATE(YEAR($L611),MONTH($L611),DAY($L611))),2,2),LOOKUP(P611,CurrencyCodes,UnitsPerUSD))"),1.0)</f>
        <v>1</v>
      </c>
      <c r="R611" s="17">
        <f t="shared" si="3"/>
        <v>299000</v>
      </c>
    </row>
    <row r="612">
      <c r="A612" s="7">
        <v>43933.26261365741</v>
      </c>
      <c r="B612" s="18" t="s">
        <v>18</v>
      </c>
      <c r="C612" s="19">
        <v>418.0</v>
      </c>
      <c r="D612" s="18" t="s">
        <v>2204</v>
      </c>
      <c r="E612" s="18" t="s">
        <v>2205</v>
      </c>
      <c r="F612" s="18" t="s">
        <v>2132</v>
      </c>
      <c r="G612" s="19">
        <v>87505.0</v>
      </c>
      <c r="H612" s="21" t="s">
        <v>1173</v>
      </c>
      <c r="I612" s="21" t="s">
        <v>39</v>
      </c>
      <c r="J612" s="11">
        <v>478664.0</v>
      </c>
      <c r="K612" s="21" t="s">
        <v>25</v>
      </c>
      <c r="L612" s="25">
        <v>41275.0</v>
      </c>
      <c r="M612" s="24" t="s">
        <v>2206</v>
      </c>
      <c r="N612" s="10" t="s">
        <v>2207</v>
      </c>
      <c r="O612" s="15">
        <f t="shared" si="1"/>
        <v>2013</v>
      </c>
      <c r="P612" s="16" t="str">
        <f t="shared" si="2"/>
        <v>USD</v>
      </c>
      <c r="Q612" s="15">
        <f>IFERROR(__xludf.DUMMYFUNCTION("IFNA(INDEX(GOOGLEFINANCE(""Currency:USD""&amp;$P612,""price"",DATE(YEAR($L612),MONTH($L612),DAY($L612))),2,2),LOOKUP(P612,CurrencyCodes,UnitsPerUSD))"),1.0)</f>
        <v>1</v>
      </c>
      <c r="R612" s="17">
        <f t="shared" si="3"/>
        <v>478664</v>
      </c>
    </row>
    <row r="613">
      <c r="A613" s="7">
        <v>43933.038584317124</v>
      </c>
      <c r="B613" s="18" t="s">
        <v>18</v>
      </c>
      <c r="C613" s="9">
        <v>2705.0</v>
      </c>
      <c r="D613" s="8" t="s">
        <v>2208</v>
      </c>
      <c r="E613" s="18" t="s">
        <v>2209</v>
      </c>
      <c r="F613" s="8" t="s">
        <v>2210</v>
      </c>
      <c r="G613" s="19">
        <v>89406.0</v>
      </c>
      <c r="H613" s="21" t="s">
        <v>1173</v>
      </c>
      <c r="I613" s="21" t="s">
        <v>39</v>
      </c>
      <c r="J613" s="11">
        <v>150000.0</v>
      </c>
      <c r="K613" s="21" t="s">
        <v>25</v>
      </c>
      <c r="L613" s="25">
        <v>38295.0</v>
      </c>
      <c r="M613" s="28" t="s">
        <v>2211</v>
      </c>
      <c r="N613" s="21" t="s">
        <v>2212</v>
      </c>
      <c r="O613" s="15">
        <f t="shared" si="1"/>
        <v>2004</v>
      </c>
      <c r="P613" s="16" t="str">
        <f t="shared" si="2"/>
        <v>USD</v>
      </c>
      <c r="Q613" s="15">
        <f>IFERROR(__xludf.DUMMYFUNCTION("IFNA(INDEX(GOOGLEFINANCE(""Currency:USD""&amp;$P613,""price"",DATE(YEAR($L613),MONTH($L613),DAY($L613))),2,2),LOOKUP(P613,CurrencyCodes,UnitsPerUSD))"),1.0)</f>
        <v>1</v>
      </c>
      <c r="R613" s="17">
        <f t="shared" si="3"/>
        <v>150000</v>
      </c>
    </row>
    <row r="614">
      <c r="A614" s="7">
        <v>43955.4717357176</v>
      </c>
      <c r="B614" s="8" t="s">
        <v>18</v>
      </c>
      <c r="C614" s="9">
        <v>601.0</v>
      </c>
      <c r="D614" s="8" t="s">
        <v>2213</v>
      </c>
      <c r="E614" s="8" t="s">
        <v>2214</v>
      </c>
      <c r="F614" s="8" t="s">
        <v>2210</v>
      </c>
      <c r="G614" s="9">
        <v>89512.0</v>
      </c>
      <c r="H614" s="10" t="s">
        <v>1173</v>
      </c>
      <c r="I614" s="10" t="s">
        <v>39</v>
      </c>
      <c r="J614" s="11">
        <v>175000.0</v>
      </c>
      <c r="K614" s="10" t="s">
        <v>25</v>
      </c>
      <c r="L614" s="25">
        <v>40905.0</v>
      </c>
      <c r="M614" s="28" t="s">
        <v>2215</v>
      </c>
      <c r="N614" s="12" t="s">
        <v>2216</v>
      </c>
      <c r="O614" s="15">
        <f t="shared" si="1"/>
        <v>2011</v>
      </c>
      <c r="P614" s="16" t="str">
        <f t="shared" si="2"/>
        <v>USD</v>
      </c>
      <c r="Q614" s="15">
        <f>IFERROR(__xludf.DUMMYFUNCTION("IFNA(INDEX(GOOGLEFINANCE(""Currency:USD""&amp;$P614,""price"",DATE(YEAR($L614),MONTH($L614),DAY($L614))),2,2),LOOKUP(P614,CurrencyCodes,UnitsPerUSD))"),1.0)</f>
        <v>1</v>
      </c>
      <c r="R614" s="17">
        <f t="shared" si="3"/>
        <v>175000</v>
      </c>
    </row>
    <row r="615">
      <c r="A615" s="7">
        <v>44020.197787997684</v>
      </c>
      <c r="B615" s="8" t="s">
        <v>18</v>
      </c>
      <c r="C615" s="9">
        <v>450.0</v>
      </c>
      <c r="D615" s="8" t="s">
        <v>2217</v>
      </c>
      <c r="E615" s="8" t="s">
        <v>2218</v>
      </c>
      <c r="F615" s="8" t="s">
        <v>2219</v>
      </c>
      <c r="G615" s="9">
        <v>11701.0</v>
      </c>
      <c r="H615" s="10" t="s">
        <v>1173</v>
      </c>
      <c r="I615" s="10" t="s">
        <v>39</v>
      </c>
      <c r="J615" s="11">
        <v>440000.0</v>
      </c>
      <c r="K615" s="10" t="s">
        <v>25</v>
      </c>
      <c r="L615" s="25">
        <v>41316.0</v>
      </c>
      <c r="M615" s="28" t="s">
        <v>2220</v>
      </c>
      <c r="N615" s="12" t="s">
        <v>2221</v>
      </c>
      <c r="O615" s="15">
        <f t="shared" si="1"/>
        <v>2013</v>
      </c>
      <c r="P615" s="16" t="str">
        <f t="shared" si="2"/>
        <v>USD</v>
      </c>
      <c r="Q615" s="15">
        <f>IFERROR(__xludf.DUMMYFUNCTION("IFNA(INDEX(GOOGLEFINANCE(""Currency:USD""&amp;$P615,""price"",DATE(YEAR($L615),MONTH($L615),DAY($L615))),2,2),LOOKUP(P615,CurrencyCodes,UnitsPerUSD))"),1.0)</f>
        <v>1</v>
      </c>
      <c r="R615" s="17">
        <f t="shared" si="3"/>
        <v>440000</v>
      </c>
    </row>
    <row r="616">
      <c r="A616" s="7">
        <v>44020.65993717592</v>
      </c>
      <c r="B616" s="8" t="s">
        <v>18</v>
      </c>
      <c r="C616" s="9">
        <v>625.0</v>
      </c>
      <c r="D616" s="8" t="s">
        <v>2222</v>
      </c>
      <c r="E616" s="8" t="s">
        <v>2223</v>
      </c>
      <c r="F616" s="8" t="s">
        <v>2219</v>
      </c>
      <c r="G616" s="9">
        <v>10473.0</v>
      </c>
      <c r="H616" s="10" t="s">
        <v>1173</v>
      </c>
      <c r="I616" s="10" t="s">
        <v>39</v>
      </c>
      <c r="J616" s="11">
        <v>615000.0</v>
      </c>
      <c r="K616" s="10" t="s">
        <v>25</v>
      </c>
      <c r="L616" s="25">
        <v>40092.0</v>
      </c>
      <c r="M616" s="28" t="s">
        <v>2224</v>
      </c>
      <c r="N616" s="12" t="s">
        <v>2225</v>
      </c>
      <c r="O616" s="15">
        <f t="shared" si="1"/>
        <v>2009</v>
      </c>
      <c r="P616" s="16" t="str">
        <f t="shared" si="2"/>
        <v>USD</v>
      </c>
      <c r="Q616" s="15">
        <f>IFERROR(__xludf.DUMMYFUNCTION("IFNA(INDEX(GOOGLEFINANCE(""Currency:USD""&amp;$P616,""price"",DATE(YEAR($L616),MONTH($L616),DAY($L616))),2,2),LOOKUP(P616,CurrencyCodes,UnitsPerUSD))"),1.0)</f>
        <v>1</v>
      </c>
      <c r="R616" s="17">
        <f t="shared" si="3"/>
        <v>615000</v>
      </c>
    </row>
    <row r="617">
      <c r="A617" s="7">
        <v>44020.21352276621</v>
      </c>
      <c r="B617" s="8" t="s">
        <v>18</v>
      </c>
      <c r="C617" s="9">
        <v>1820.0</v>
      </c>
      <c r="D617" s="8" t="s">
        <v>2226</v>
      </c>
      <c r="E617" s="8" t="s">
        <v>2223</v>
      </c>
      <c r="F617" s="8" t="s">
        <v>2219</v>
      </c>
      <c r="G617" s="9">
        <v>10457.0</v>
      </c>
      <c r="H617" s="10" t="s">
        <v>1173</v>
      </c>
      <c r="I617" s="10" t="s">
        <v>39</v>
      </c>
      <c r="J617" s="11">
        <v>1350000.0</v>
      </c>
      <c r="K617" s="10" t="s">
        <v>25</v>
      </c>
      <c r="L617" s="25">
        <v>43510.0</v>
      </c>
      <c r="M617" s="14" t="s">
        <v>2227</v>
      </c>
      <c r="N617" s="10"/>
      <c r="O617" s="15">
        <f t="shared" si="1"/>
        <v>2019</v>
      </c>
      <c r="P617" s="16" t="str">
        <f t="shared" si="2"/>
        <v>USD</v>
      </c>
      <c r="Q617" s="15">
        <f>IFERROR(__xludf.DUMMYFUNCTION("IFNA(INDEX(GOOGLEFINANCE(""Currency:USD""&amp;$P617,""price"",DATE(YEAR($L617),MONTH($L617),DAY($L617))),2,2),LOOKUP(P617,CurrencyCodes,UnitsPerUSD))"),1.0)</f>
        <v>1</v>
      </c>
      <c r="R617" s="17">
        <f t="shared" si="3"/>
        <v>1350000</v>
      </c>
    </row>
    <row r="618">
      <c r="A618" s="7">
        <v>44006.338903738426</v>
      </c>
      <c r="B618" s="8" t="s">
        <v>250</v>
      </c>
      <c r="C618" s="9">
        <v>61.0</v>
      </c>
      <c r="D618" s="8" t="s">
        <v>2228</v>
      </c>
      <c r="E618" s="8" t="s">
        <v>2229</v>
      </c>
      <c r="F618" s="8" t="s">
        <v>2219</v>
      </c>
      <c r="G618" s="9">
        <v>11201.0</v>
      </c>
      <c r="H618" s="10" t="s">
        <v>1173</v>
      </c>
      <c r="I618" s="10" t="s">
        <v>39</v>
      </c>
      <c r="J618" s="11">
        <v>6.5E7</v>
      </c>
      <c r="K618" s="10" t="s">
        <v>25</v>
      </c>
      <c r="L618" s="25">
        <v>42611.0</v>
      </c>
      <c r="M618" s="28" t="s">
        <v>2230</v>
      </c>
      <c r="N618" s="12" t="s">
        <v>2231</v>
      </c>
      <c r="O618" s="15">
        <f t="shared" si="1"/>
        <v>2016</v>
      </c>
      <c r="P618" s="16" t="str">
        <f t="shared" si="2"/>
        <v>USD</v>
      </c>
      <c r="Q618" s="15">
        <f>IFERROR(__xludf.DUMMYFUNCTION("IFNA(INDEX(GOOGLEFINANCE(""Currency:USD""&amp;$P618,""price"",DATE(YEAR($L618),MONTH($L618),DAY($L618))),2,2),LOOKUP(P618,CurrencyCodes,UnitsPerUSD))"),1.0)</f>
        <v>1</v>
      </c>
      <c r="R618" s="17">
        <f t="shared" si="3"/>
        <v>65000000</v>
      </c>
    </row>
    <row r="619">
      <c r="A619" s="7">
        <v>44006.33931108796</v>
      </c>
      <c r="B619" s="18" t="s">
        <v>250</v>
      </c>
      <c r="C619" s="19">
        <v>74.0</v>
      </c>
      <c r="D619" s="18" t="s">
        <v>2228</v>
      </c>
      <c r="E619" s="18" t="s">
        <v>2229</v>
      </c>
      <c r="F619" s="18" t="s">
        <v>2219</v>
      </c>
      <c r="G619" s="19">
        <v>11201.0</v>
      </c>
      <c r="H619" s="21" t="s">
        <v>1173</v>
      </c>
      <c r="I619" s="21" t="s">
        <v>39</v>
      </c>
      <c r="J619" s="11">
        <v>6.0E7</v>
      </c>
      <c r="K619" s="21" t="s">
        <v>25</v>
      </c>
      <c r="L619" s="25">
        <v>42867.0</v>
      </c>
      <c r="M619" s="28" t="s">
        <v>2230</v>
      </c>
      <c r="N619" s="12" t="s">
        <v>2232</v>
      </c>
      <c r="O619" s="15">
        <f t="shared" si="1"/>
        <v>2017</v>
      </c>
      <c r="P619" s="16" t="str">
        <f t="shared" si="2"/>
        <v>USD</v>
      </c>
      <c r="Q619" s="15">
        <f>IFERROR(__xludf.DUMMYFUNCTION("IFNA(INDEX(GOOGLEFINANCE(""Currency:USD""&amp;$P619,""price"",DATE(YEAR($L619),MONTH($L619),DAY($L619))),2,2),LOOKUP(P619,CurrencyCodes,UnitsPerUSD))"),1.0)</f>
        <v>1</v>
      </c>
      <c r="R619" s="17">
        <f t="shared" si="3"/>
        <v>60000000</v>
      </c>
    </row>
    <row r="620">
      <c r="A620" s="7">
        <v>44006.338238310185</v>
      </c>
      <c r="B620" s="8" t="s">
        <v>250</v>
      </c>
      <c r="C620" s="9">
        <v>107.0</v>
      </c>
      <c r="D620" s="8" t="s">
        <v>2228</v>
      </c>
      <c r="E620" s="8" t="s">
        <v>2229</v>
      </c>
      <c r="F620" s="8" t="s">
        <v>2219</v>
      </c>
      <c r="G620" s="9">
        <v>11201.0</v>
      </c>
      <c r="H620" s="10" t="s">
        <v>1173</v>
      </c>
      <c r="I620" s="10" t="s">
        <v>39</v>
      </c>
      <c r="J620" s="11">
        <v>6.4E7</v>
      </c>
      <c r="K620" s="10" t="s">
        <v>25</v>
      </c>
      <c r="L620" s="25">
        <v>41460.0</v>
      </c>
      <c r="M620" s="28" t="s">
        <v>2230</v>
      </c>
      <c r="N620" s="12" t="s">
        <v>2233</v>
      </c>
      <c r="O620" s="15">
        <f t="shared" si="1"/>
        <v>2013</v>
      </c>
      <c r="P620" s="16" t="str">
        <f t="shared" si="2"/>
        <v>USD</v>
      </c>
      <c r="Q620" s="15">
        <f>IFERROR(__xludf.DUMMYFUNCTION("IFNA(INDEX(GOOGLEFINANCE(""Currency:USD""&amp;$P620,""price"",DATE(YEAR($L620),MONTH($L620),DAY($L620))),2,2),LOOKUP(P620,CurrencyCodes,UnitsPerUSD))"),1.0)</f>
        <v>1</v>
      </c>
      <c r="R620" s="17">
        <f t="shared" si="3"/>
        <v>64000000</v>
      </c>
    </row>
    <row r="621">
      <c r="A621" s="7">
        <v>44020.22511826389</v>
      </c>
      <c r="B621" s="8" t="s">
        <v>18</v>
      </c>
      <c r="C621" s="9">
        <v>1666.0</v>
      </c>
      <c r="D621" s="8" t="s">
        <v>2234</v>
      </c>
      <c r="E621" s="8" t="s">
        <v>2229</v>
      </c>
      <c r="F621" s="8" t="s">
        <v>2219</v>
      </c>
      <c r="G621" s="9">
        <v>11213.0</v>
      </c>
      <c r="H621" s="10" t="s">
        <v>1173</v>
      </c>
      <c r="I621" s="10" t="s">
        <v>39</v>
      </c>
      <c r="J621" s="11">
        <v>490000.0</v>
      </c>
      <c r="K621" s="10" t="s">
        <v>25</v>
      </c>
      <c r="L621" s="25">
        <v>40938.0</v>
      </c>
      <c r="M621" s="28" t="s">
        <v>2235</v>
      </c>
      <c r="N621" s="12" t="s">
        <v>2236</v>
      </c>
      <c r="O621" s="15">
        <f t="shared" si="1"/>
        <v>2012</v>
      </c>
      <c r="P621" s="16" t="str">
        <f t="shared" si="2"/>
        <v>USD</v>
      </c>
      <c r="Q621" s="15">
        <f>IFERROR(__xludf.DUMMYFUNCTION("IFNA(INDEX(GOOGLEFINANCE(""Currency:USD""&amp;$P621,""price"",DATE(YEAR($L621),MONTH($L621),DAY($L621))),2,2),LOOKUP(P621,CurrencyCodes,UnitsPerUSD))"),1.0)</f>
        <v>1</v>
      </c>
      <c r="R621" s="17">
        <f t="shared" si="3"/>
        <v>490000</v>
      </c>
    </row>
    <row r="622">
      <c r="A622" s="7">
        <v>44006.340055127315</v>
      </c>
      <c r="B622" s="18" t="s">
        <v>250</v>
      </c>
      <c r="C622" s="19">
        <v>21.0</v>
      </c>
      <c r="D622" s="18" t="s">
        <v>2237</v>
      </c>
      <c r="E622" s="18" t="s">
        <v>2229</v>
      </c>
      <c r="F622" s="8" t="s">
        <v>2219</v>
      </c>
      <c r="G622" s="19">
        <v>11201.0</v>
      </c>
      <c r="H622" s="21" t="s">
        <v>1173</v>
      </c>
      <c r="I622" s="21" t="s">
        <v>39</v>
      </c>
      <c r="J622" s="11">
        <v>2.025E8</v>
      </c>
      <c r="K622" s="21" t="s">
        <v>25</v>
      </c>
      <c r="L622" s="25">
        <v>42956.0</v>
      </c>
      <c r="M622" s="24" t="s">
        <v>2230</v>
      </c>
      <c r="N622" s="27" t="s">
        <v>2238</v>
      </c>
      <c r="O622" s="15">
        <f t="shared" si="1"/>
        <v>2017</v>
      </c>
      <c r="P622" s="16" t="str">
        <f t="shared" si="2"/>
        <v>USD</v>
      </c>
      <c r="Q622" s="15">
        <f>IFERROR(__xludf.DUMMYFUNCTION("IFNA(INDEX(GOOGLEFINANCE(""Currency:USD""&amp;$P622,""price"",DATE(YEAR($L622),MONTH($L622),DAY($L622))),2,2),LOOKUP(P622,CurrencyCodes,UnitsPerUSD))"),1.0)</f>
        <v>1</v>
      </c>
      <c r="R622" s="17">
        <f t="shared" si="3"/>
        <v>202500000</v>
      </c>
    </row>
    <row r="623">
      <c r="A623" s="7">
        <v>44006.33977210648</v>
      </c>
      <c r="B623" s="18" t="s">
        <v>250</v>
      </c>
      <c r="C623" s="32" t="s">
        <v>2239</v>
      </c>
      <c r="D623" s="18" t="s">
        <v>2237</v>
      </c>
      <c r="E623" s="18" t="s">
        <v>2229</v>
      </c>
      <c r="F623" s="18" t="s">
        <v>2219</v>
      </c>
      <c r="G623" s="9">
        <v>11201.0</v>
      </c>
      <c r="H623" s="21" t="s">
        <v>1173</v>
      </c>
      <c r="I623" s="21" t="s">
        <v>39</v>
      </c>
      <c r="J623" s="11">
        <v>1.25E7</v>
      </c>
      <c r="K623" s="21" t="s">
        <v>25</v>
      </c>
      <c r="L623" s="25">
        <v>39136.0</v>
      </c>
      <c r="M623" s="28" t="s">
        <v>2230</v>
      </c>
      <c r="N623" s="12" t="s">
        <v>2240</v>
      </c>
      <c r="O623" s="15">
        <f t="shared" si="1"/>
        <v>2007</v>
      </c>
      <c r="P623" s="16" t="str">
        <f t="shared" si="2"/>
        <v>USD</v>
      </c>
      <c r="Q623" s="15">
        <f>IFERROR(__xludf.DUMMYFUNCTION("IFNA(INDEX(GOOGLEFINANCE(""Currency:USD""&amp;$P623,""price"",DATE(YEAR($L623),MONTH($L623),DAY($L623))),2,2),LOOKUP(P623,CurrencyCodes,UnitsPerUSD))"),1.0)</f>
        <v>1</v>
      </c>
      <c r="R623" s="17">
        <f t="shared" si="3"/>
        <v>12500000</v>
      </c>
    </row>
    <row r="624">
      <c r="A624" s="7">
        <v>44006.342633333334</v>
      </c>
      <c r="B624" s="8" t="s">
        <v>250</v>
      </c>
      <c r="C624" s="9">
        <v>29.0</v>
      </c>
      <c r="D624" s="8" t="s">
        <v>2241</v>
      </c>
      <c r="E624" s="8" t="s">
        <v>2229</v>
      </c>
      <c r="F624" s="8" t="s">
        <v>2219</v>
      </c>
      <c r="G624" s="9">
        <v>11201.0</v>
      </c>
      <c r="H624" s="10" t="s">
        <v>1173</v>
      </c>
      <c r="I624" s="10" t="s">
        <v>39</v>
      </c>
      <c r="J624" s="11">
        <v>3.4E8</v>
      </c>
      <c r="K624" s="10" t="s">
        <v>25</v>
      </c>
      <c r="L624" s="25">
        <v>42492.0</v>
      </c>
      <c r="M624" s="28" t="s">
        <v>2230</v>
      </c>
      <c r="N624" s="12" t="s">
        <v>2242</v>
      </c>
      <c r="O624" s="15">
        <f t="shared" si="1"/>
        <v>2016</v>
      </c>
      <c r="P624" s="16" t="str">
        <f t="shared" si="2"/>
        <v>USD</v>
      </c>
      <c r="Q624" s="15">
        <f>IFERROR(__xludf.DUMMYFUNCTION("IFNA(INDEX(GOOGLEFINANCE(""Currency:USD""&amp;$P624,""price"",DATE(YEAR($L624),MONTH($L624),DAY($L624))),2,2),LOOKUP(P624,CurrencyCodes,UnitsPerUSD))"),1.0)</f>
        <v>1</v>
      </c>
      <c r="R624" s="17">
        <f t="shared" si="3"/>
        <v>340000000</v>
      </c>
    </row>
    <row r="625">
      <c r="A625" s="7">
        <v>44006.34389297453</v>
      </c>
      <c r="B625" s="18" t="s">
        <v>250</v>
      </c>
      <c r="C625" s="19">
        <v>97.0</v>
      </c>
      <c r="D625" s="18" t="s">
        <v>2241</v>
      </c>
      <c r="E625" s="18" t="s">
        <v>2229</v>
      </c>
      <c r="F625" s="18" t="s">
        <v>2219</v>
      </c>
      <c r="G625" s="19">
        <v>11201.0</v>
      </c>
      <c r="H625" s="21" t="s">
        <v>1173</v>
      </c>
      <c r="I625" s="21" t="s">
        <v>39</v>
      </c>
      <c r="J625" s="11">
        <v>5.8E7</v>
      </c>
      <c r="K625" s="21" t="s">
        <v>25</v>
      </c>
      <c r="L625" s="25">
        <v>42877.0</v>
      </c>
      <c r="M625" s="24" t="s">
        <v>2230</v>
      </c>
      <c r="N625" s="12" t="s">
        <v>2243</v>
      </c>
      <c r="O625" s="15">
        <f t="shared" si="1"/>
        <v>2017</v>
      </c>
      <c r="P625" s="16" t="str">
        <f t="shared" si="2"/>
        <v>USD</v>
      </c>
      <c r="Q625" s="15">
        <f>IFERROR(__xludf.DUMMYFUNCTION("IFNA(INDEX(GOOGLEFINANCE(""Currency:USD""&amp;$P625,""price"",DATE(YEAR($L625),MONTH($L625),DAY($L625))),2,2),LOOKUP(P625,CurrencyCodes,UnitsPerUSD))"),1.0)</f>
        <v>1</v>
      </c>
      <c r="R625" s="17">
        <f t="shared" si="3"/>
        <v>58000000</v>
      </c>
    </row>
    <row r="626">
      <c r="A626" s="7">
        <v>44006.34324804398</v>
      </c>
      <c r="B626" s="18" t="s">
        <v>250</v>
      </c>
      <c r="C626" s="19">
        <v>107.0</v>
      </c>
      <c r="D626" s="18" t="s">
        <v>2241</v>
      </c>
      <c r="E626" s="18" t="s">
        <v>2229</v>
      </c>
      <c r="F626" s="18" t="s">
        <v>2219</v>
      </c>
      <c r="G626" s="9">
        <v>11201.0</v>
      </c>
      <c r="H626" s="21" t="s">
        <v>1173</v>
      </c>
      <c r="I626" s="21" t="s">
        <v>39</v>
      </c>
      <c r="J626" s="11">
        <v>8.75E7</v>
      </c>
      <c r="K626" s="21" t="s">
        <v>25</v>
      </c>
      <c r="L626" s="25">
        <v>42779.0</v>
      </c>
      <c r="M626" s="24" t="s">
        <v>2230</v>
      </c>
      <c r="N626" s="27" t="s">
        <v>2244</v>
      </c>
      <c r="O626" s="15">
        <f t="shared" si="1"/>
        <v>2017</v>
      </c>
      <c r="P626" s="16" t="str">
        <f t="shared" si="2"/>
        <v>USD</v>
      </c>
      <c r="Q626" s="15">
        <f>IFERROR(__xludf.DUMMYFUNCTION("IFNA(INDEX(GOOGLEFINANCE(""Currency:USD""&amp;$P626,""price"",DATE(YEAR($L626),MONTH($L626),DAY($L626))),2,2),LOOKUP(P626,CurrencyCodes,UnitsPerUSD))"),1.0)</f>
        <v>1</v>
      </c>
      <c r="R626" s="17">
        <f t="shared" si="3"/>
        <v>87500000</v>
      </c>
    </row>
    <row r="627">
      <c r="A627" s="7">
        <v>44006.34353174768</v>
      </c>
      <c r="B627" s="18" t="s">
        <v>250</v>
      </c>
      <c r="C627" s="19">
        <v>119.0</v>
      </c>
      <c r="D627" s="18" t="s">
        <v>2241</v>
      </c>
      <c r="E627" s="18" t="s">
        <v>2229</v>
      </c>
      <c r="F627" s="18" t="s">
        <v>2219</v>
      </c>
      <c r="G627" s="19">
        <v>11201.0</v>
      </c>
      <c r="H627" s="21" t="s">
        <v>1173</v>
      </c>
      <c r="I627" s="21" t="s">
        <v>39</v>
      </c>
      <c r="J627" s="11">
        <v>1.8E7</v>
      </c>
      <c r="K627" s="21" t="s">
        <v>25</v>
      </c>
      <c r="L627" s="25">
        <v>42877.0</v>
      </c>
      <c r="M627" s="24" t="s">
        <v>2230</v>
      </c>
      <c r="N627" s="27" t="s">
        <v>2245</v>
      </c>
      <c r="O627" s="15">
        <f t="shared" si="1"/>
        <v>2017</v>
      </c>
      <c r="P627" s="16" t="str">
        <f t="shared" si="2"/>
        <v>USD</v>
      </c>
      <c r="Q627" s="15">
        <f>IFERROR(__xludf.DUMMYFUNCTION("IFNA(INDEX(GOOGLEFINANCE(""Currency:USD""&amp;$P627,""price"",DATE(YEAR($L627),MONTH($L627),DAY($L627))),2,2),LOOKUP(P627,CurrencyCodes,UnitsPerUSD))"),1.0)</f>
        <v>1</v>
      </c>
      <c r="R627" s="17">
        <f t="shared" si="3"/>
        <v>18000000</v>
      </c>
    </row>
    <row r="628">
      <c r="A628" s="7">
        <v>44006.34200809027</v>
      </c>
      <c r="B628" s="18" t="s">
        <v>250</v>
      </c>
      <c r="C628" s="9">
        <v>122.0</v>
      </c>
      <c r="D628" s="8" t="s">
        <v>2241</v>
      </c>
      <c r="E628" s="8" t="s">
        <v>2229</v>
      </c>
      <c r="F628" s="8" t="s">
        <v>2219</v>
      </c>
      <c r="G628" s="9">
        <v>11201.0</v>
      </c>
      <c r="H628" s="21" t="s">
        <v>1173</v>
      </c>
      <c r="I628" s="21" t="s">
        <v>39</v>
      </c>
      <c r="J628" s="11">
        <v>1.05E8</v>
      </c>
      <c r="K628" s="21" t="s">
        <v>25</v>
      </c>
      <c r="L628" s="25">
        <v>42457.0</v>
      </c>
      <c r="M628" s="28" t="s">
        <v>2230</v>
      </c>
      <c r="N628" s="12" t="s">
        <v>2246</v>
      </c>
      <c r="O628" s="15">
        <f t="shared" si="1"/>
        <v>2016</v>
      </c>
      <c r="P628" s="16" t="str">
        <f t="shared" si="2"/>
        <v>USD</v>
      </c>
      <c r="Q628" s="15">
        <f>IFERROR(__xludf.DUMMYFUNCTION("IFNA(INDEX(GOOGLEFINANCE(""Currency:USD""&amp;$P628,""price"",DATE(YEAR($L628),MONTH($L628),DAY($L628))),2,2),LOOKUP(P628,CurrencyCodes,UnitsPerUSD))"),1.0)</f>
        <v>1</v>
      </c>
      <c r="R628" s="17">
        <f t="shared" si="3"/>
        <v>105000000</v>
      </c>
    </row>
    <row r="629">
      <c r="A629" s="7">
        <v>44006.342355995366</v>
      </c>
      <c r="B629" s="18" t="s">
        <v>250</v>
      </c>
      <c r="C629" s="9">
        <v>128.0</v>
      </c>
      <c r="D629" s="8" t="s">
        <v>2241</v>
      </c>
      <c r="E629" s="18" t="s">
        <v>2229</v>
      </c>
      <c r="F629" s="8" t="s">
        <v>2219</v>
      </c>
      <c r="G629" s="9">
        <v>11201.0</v>
      </c>
      <c r="H629" s="21" t="s">
        <v>1173</v>
      </c>
      <c r="I629" s="21" t="s">
        <v>39</v>
      </c>
      <c r="J629" s="11">
        <v>0.0</v>
      </c>
      <c r="K629" s="21" t="s">
        <v>25</v>
      </c>
      <c r="L629" s="25">
        <v>42457.0</v>
      </c>
      <c r="M629" s="28" t="s">
        <v>2230</v>
      </c>
      <c r="N629" s="12" t="s">
        <v>2247</v>
      </c>
      <c r="O629" s="15">
        <f t="shared" si="1"/>
        <v>2016</v>
      </c>
      <c r="P629" s="16" t="str">
        <f t="shared" si="2"/>
        <v>USD</v>
      </c>
      <c r="Q629" s="15">
        <f>IFERROR(__xludf.DUMMYFUNCTION("IFNA(INDEX(GOOGLEFINANCE(""Currency:USD""&amp;$P629,""price"",DATE(YEAR($L629),MONTH($L629),DAY($L629))),2,2),LOOKUP(P629,CurrencyCodes,UnitsPerUSD))"),1.0)</f>
        <v>1</v>
      </c>
      <c r="R629" s="17">
        <f t="shared" si="3"/>
        <v>0</v>
      </c>
    </row>
    <row r="630">
      <c r="A630" s="7">
        <v>44006.34135743056</v>
      </c>
      <c r="B630" s="18" t="s">
        <v>250</v>
      </c>
      <c r="C630" s="9">
        <v>161.0</v>
      </c>
      <c r="D630" s="18" t="s">
        <v>2241</v>
      </c>
      <c r="E630" s="18" t="s">
        <v>2229</v>
      </c>
      <c r="F630" s="8" t="s">
        <v>2219</v>
      </c>
      <c r="G630" s="19">
        <v>11201.0</v>
      </c>
      <c r="H630" s="21" t="s">
        <v>1173</v>
      </c>
      <c r="I630" s="21" t="s">
        <v>39</v>
      </c>
      <c r="J630" s="11">
        <v>2950000.0</v>
      </c>
      <c r="K630" s="21" t="s">
        <v>25</v>
      </c>
      <c r="L630" s="25">
        <v>40935.0</v>
      </c>
      <c r="M630" s="24" t="s">
        <v>2230</v>
      </c>
      <c r="N630" s="12" t="s">
        <v>2248</v>
      </c>
      <c r="O630" s="15">
        <f t="shared" si="1"/>
        <v>2012</v>
      </c>
      <c r="P630" s="16" t="str">
        <f t="shared" si="2"/>
        <v>USD</v>
      </c>
      <c r="Q630" s="15">
        <f>IFERROR(__xludf.DUMMYFUNCTION("IFNA(INDEX(GOOGLEFINANCE(""Currency:USD""&amp;$P630,""price"",DATE(YEAR($L630),MONTH($L630),DAY($L630))),2,2),LOOKUP(P630,CurrencyCodes,UnitsPerUSD))"),1.0)</f>
        <v>1</v>
      </c>
      <c r="R630" s="17">
        <f t="shared" si="3"/>
        <v>2950000</v>
      </c>
    </row>
    <row r="631">
      <c r="A631" s="7">
        <v>44006.34108745371</v>
      </c>
      <c r="B631" s="18" t="s">
        <v>250</v>
      </c>
      <c r="C631" s="19">
        <v>165.0</v>
      </c>
      <c r="D631" s="18" t="s">
        <v>2241</v>
      </c>
      <c r="E631" s="18" t="s">
        <v>2229</v>
      </c>
      <c r="F631" s="8" t="s">
        <v>2219</v>
      </c>
      <c r="G631" s="19">
        <v>11201.0</v>
      </c>
      <c r="H631" s="21" t="s">
        <v>1173</v>
      </c>
      <c r="I631" s="21" t="s">
        <v>39</v>
      </c>
      <c r="J631" s="11">
        <v>4100000.0</v>
      </c>
      <c r="K631" s="21" t="s">
        <v>25</v>
      </c>
      <c r="L631" s="25">
        <v>40865.0</v>
      </c>
      <c r="M631" s="28" t="s">
        <v>2230</v>
      </c>
      <c r="N631" s="27" t="s">
        <v>2249</v>
      </c>
      <c r="O631" s="15">
        <f t="shared" si="1"/>
        <v>2011</v>
      </c>
      <c r="P631" s="16" t="str">
        <f t="shared" si="2"/>
        <v>USD</v>
      </c>
      <c r="Q631" s="15">
        <f>IFERROR(__xludf.DUMMYFUNCTION("IFNA(INDEX(GOOGLEFINANCE(""Currency:USD""&amp;$P631,""price"",DATE(YEAR($L631),MONTH($L631),DAY($L631))),2,2),LOOKUP(P631,CurrencyCodes,UnitsPerUSD))"),1.0)</f>
        <v>1</v>
      </c>
      <c r="R631" s="17">
        <f t="shared" si="3"/>
        <v>4100000</v>
      </c>
    </row>
    <row r="632">
      <c r="A632" s="7">
        <v>44006.34070366898</v>
      </c>
      <c r="B632" s="18" t="s">
        <v>250</v>
      </c>
      <c r="C632" s="9">
        <v>169.0</v>
      </c>
      <c r="D632" s="18" t="s">
        <v>2241</v>
      </c>
      <c r="E632" s="18" t="s">
        <v>2229</v>
      </c>
      <c r="F632" s="8" t="s">
        <v>2219</v>
      </c>
      <c r="G632" s="19">
        <v>11201.0</v>
      </c>
      <c r="H632" s="21" t="s">
        <v>1173</v>
      </c>
      <c r="I632" s="21" t="s">
        <v>39</v>
      </c>
      <c r="J632" s="11">
        <v>5.0E7</v>
      </c>
      <c r="K632" s="21" t="s">
        <v>25</v>
      </c>
      <c r="L632" s="25">
        <v>43054.0</v>
      </c>
      <c r="M632" s="28" t="s">
        <v>2230</v>
      </c>
      <c r="N632" s="27" t="s">
        <v>2250</v>
      </c>
      <c r="O632" s="15">
        <f t="shared" si="1"/>
        <v>2017</v>
      </c>
      <c r="P632" s="16" t="str">
        <f t="shared" si="2"/>
        <v>USD</v>
      </c>
      <c r="Q632" s="15">
        <f>IFERROR(__xludf.DUMMYFUNCTION("IFNA(INDEX(GOOGLEFINANCE(""Currency:USD""&amp;$P632,""price"",DATE(YEAR($L632),MONTH($L632),DAY($L632))),2,2),LOOKUP(P632,CurrencyCodes,UnitsPerUSD))"),1.0)</f>
        <v>1</v>
      </c>
      <c r="R632" s="17">
        <f t="shared" si="3"/>
        <v>50000000</v>
      </c>
    </row>
    <row r="633">
      <c r="A633" s="7">
        <v>44006.34168734954</v>
      </c>
      <c r="B633" s="18" t="s">
        <v>250</v>
      </c>
      <c r="C633" s="9">
        <v>183.0</v>
      </c>
      <c r="D633" s="18" t="s">
        <v>2241</v>
      </c>
      <c r="E633" s="18" t="s">
        <v>2229</v>
      </c>
      <c r="F633" s="8" t="s">
        <v>2219</v>
      </c>
      <c r="G633" s="19">
        <v>11201.0</v>
      </c>
      <c r="H633" s="21" t="s">
        <v>1173</v>
      </c>
      <c r="I633" s="21" t="s">
        <v>39</v>
      </c>
      <c r="J633" s="11">
        <v>6600000.0</v>
      </c>
      <c r="K633" s="21" t="s">
        <v>25</v>
      </c>
      <c r="L633" s="25">
        <v>40942.0</v>
      </c>
      <c r="M633" s="24" t="s">
        <v>2230</v>
      </c>
      <c r="N633" s="12" t="s">
        <v>2251</v>
      </c>
      <c r="O633" s="15">
        <f t="shared" si="1"/>
        <v>2012</v>
      </c>
      <c r="P633" s="16" t="str">
        <f t="shared" si="2"/>
        <v>USD</v>
      </c>
      <c r="Q633" s="15">
        <f>IFERROR(__xludf.DUMMYFUNCTION("IFNA(INDEX(GOOGLEFINANCE(""Currency:USD""&amp;$P633,""price"",DATE(YEAR($L633),MONTH($L633),DAY($L633))),2,2),LOOKUP(P633,CurrencyCodes,UnitsPerUSD))"),1.0)</f>
        <v>1</v>
      </c>
      <c r="R633" s="17">
        <f t="shared" si="3"/>
        <v>6600000</v>
      </c>
    </row>
    <row r="634">
      <c r="A634" s="7">
        <v>44006.342939803246</v>
      </c>
      <c r="B634" s="18" t="s">
        <v>250</v>
      </c>
      <c r="C634" s="19" t="s">
        <v>2252</v>
      </c>
      <c r="D634" s="18" t="s">
        <v>2241</v>
      </c>
      <c r="E634" s="18" t="s">
        <v>2229</v>
      </c>
      <c r="F634" s="18" t="s">
        <v>2219</v>
      </c>
      <c r="G634" s="9">
        <v>11201.0</v>
      </c>
      <c r="H634" s="21" t="s">
        <v>1173</v>
      </c>
      <c r="I634" s="21" t="s">
        <v>39</v>
      </c>
      <c r="J634" s="11">
        <v>0.0</v>
      </c>
      <c r="K634" s="21" t="s">
        <v>25</v>
      </c>
      <c r="L634" s="25">
        <v>42492.0</v>
      </c>
      <c r="M634" s="28" t="s">
        <v>2230</v>
      </c>
      <c r="N634" s="12" t="s">
        <v>2253</v>
      </c>
      <c r="O634" s="15">
        <f t="shared" si="1"/>
        <v>2016</v>
      </c>
      <c r="P634" s="16" t="str">
        <f t="shared" si="2"/>
        <v>USD</v>
      </c>
      <c r="Q634" s="15">
        <f>IFERROR(__xludf.DUMMYFUNCTION("IFNA(INDEX(GOOGLEFINANCE(""Currency:USD""&amp;$P634,""price"",DATE(YEAR($L634),MONTH($L634),DAY($L634))),2,2),LOOKUP(P634,CurrencyCodes,UnitsPerUSD))"),1.0)</f>
        <v>1</v>
      </c>
      <c r="R634" s="17">
        <f t="shared" si="3"/>
        <v>0</v>
      </c>
    </row>
    <row r="635">
      <c r="A635" s="7">
        <v>44020.23513047454</v>
      </c>
      <c r="B635" s="8" t="s">
        <v>18</v>
      </c>
      <c r="C635" s="9">
        <v>9024.0</v>
      </c>
      <c r="D635" s="8" t="s">
        <v>2254</v>
      </c>
      <c r="E635" s="8" t="s">
        <v>2229</v>
      </c>
      <c r="F635" s="8" t="s">
        <v>2219</v>
      </c>
      <c r="G635" s="9">
        <v>11236.0</v>
      </c>
      <c r="H635" s="10" t="s">
        <v>1173</v>
      </c>
      <c r="I635" s="10" t="s">
        <v>39</v>
      </c>
      <c r="J635" s="11">
        <v>1100000.0</v>
      </c>
      <c r="K635" s="10" t="s">
        <v>25</v>
      </c>
      <c r="L635" s="25">
        <v>39715.0</v>
      </c>
      <c r="M635" s="28" t="s">
        <v>2255</v>
      </c>
      <c r="N635" s="12" t="s">
        <v>2256</v>
      </c>
      <c r="O635" s="15">
        <f t="shared" si="1"/>
        <v>2008</v>
      </c>
      <c r="P635" s="16" t="str">
        <f t="shared" si="2"/>
        <v>USD</v>
      </c>
      <c r="Q635" s="15">
        <f>IFERROR(__xludf.DUMMYFUNCTION("IFNA(INDEX(GOOGLEFINANCE(""Currency:USD""&amp;$P635,""price"",DATE(YEAR($L635),MONTH($L635),DAY($L635))),2,2),LOOKUP(P635,CurrencyCodes,UnitsPerUSD))"),1.0)</f>
        <v>1</v>
      </c>
      <c r="R635" s="17">
        <f t="shared" si="3"/>
        <v>1100000</v>
      </c>
    </row>
    <row r="636">
      <c r="A636" s="7">
        <v>44006.34484064815</v>
      </c>
      <c r="B636" s="18" t="s">
        <v>250</v>
      </c>
      <c r="C636" s="19">
        <v>30.0</v>
      </c>
      <c r="D636" s="18" t="s">
        <v>2257</v>
      </c>
      <c r="E636" s="18" t="s">
        <v>2229</v>
      </c>
      <c r="F636" s="18" t="s">
        <v>2219</v>
      </c>
      <c r="G636" s="19">
        <v>11201.0</v>
      </c>
      <c r="H636" s="21" t="s">
        <v>1173</v>
      </c>
      <c r="I636" s="21" t="s">
        <v>39</v>
      </c>
      <c r="J636" s="11">
        <v>9.1113E7</v>
      </c>
      <c r="K636" s="21" t="s">
        <v>25</v>
      </c>
      <c r="L636" s="25">
        <v>43236.0</v>
      </c>
      <c r="M636" s="28" t="s">
        <v>2230</v>
      </c>
      <c r="N636" s="12" t="s">
        <v>2258</v>
      </c>
      <c r="O636" s="15">
        <f t="shared" si="1"/>
        <v>2018</v>
      </c>
      <c r="P636" s="16" t="str">
        <f t="shared" si="2"/>
        <v>USD</v>
      </c>
      <c r="Q636" s="15">
        <f>IFERROR(__xludf.DUMMYFUNCTION("IFNA(INDEX(GOOGLEFINANCE(""Currency:USD""&amp;$P636,""price"",DATE(YEAR($L636),MONTH($L636),DAY($L636))),2,2),LOOKUP(P636,CurrencyCodes,UnitsPerUSD))"),1.0)</f>
        <v>1</v>
      </c>
      <c r="R636" s="17">
        <f t="shared" si="3"/>
        <v>91113000</v>
      </c>
    </row>
    <row r="637">
      <c r="A637" s="7">
        <v>44006.34449461805</v>
      </c>
      <c r="B637" s="18" t="s">
        <v>250</v>
      </c>
      <c r="C637" s="19">
        <v>173.0</v>
      </c>
      <c r="D637" s="18" t="s">
        <v>2257</v>
      </c>
      <c r="E637" s="18" t="s">
        <v>2229</v>
      </c>
      <c r="F637" s="18" t="s">
        <v>2219</v>
      </c>
      <c r="G637" s="19">
        <v>11201.0</v>
      </c>
      <c r="H637" s="21" t="s">
        <v>1173</v>
      </c>
      <c r="I637" s="21" t="s">
        <v>39</v>
      </c>
      <c r="J637" s="11">
        <v>0.0</v>
      </c>
      <c r="K637" s="21" t="s">
        <v>25</v>
      </c>
      <c r="L637" s="25">
        <v>41351.0</v>
      </c>
      <c r="M637" s="24" t="s">
        <v>2230</v>
      </c>
      <c r="N637" s="27" t="s">
        <v>2259</v>
      </c>
      <c r="O637" s="15">
        <f t="shared" si="1"/>
        <v>2013</v>
      </c>
      <c r="P637" s="16" t="str">
        <f t="shared" si="2"/>
        <v>USD</v>
      </c>
      <c r="Q637" s="15">
        <f>IFERROR(__xludf.DUMMYFUNCTION("IFNA(INDEX(GOOGLEFINANCE(""Currency:USD""&amp;$P637,""price"",DATE(YEAR($L637),MONTH($L637),DAY($L637))),2,2),LOOKUP(P637,CurrencyCodes,UnitsPerUSD))"),1.0)</f>
        <v>1</v>
      </c>
      <c r="R637" s="17">
        <f t="shared" si="3"/>
        <v>0</v>
      </c>
    </row>
    <row r="638">
      <c r="A638" s="7">
        <v>44006.34417596065</v>
      </c>
      <c r="B638" s="18" t="s">
        <v>250</v>
      </c>
      <c r="C638" s="19">
        <v>177.0</v>
      </c>
      <c r="D638" s="18" t="s">
        <v>2257</v>
      </c>
      <c r="E638" s="18" t="s">
        <v>2229</v>
      </c>
      <c r="F638" s="18" t="s">
        <v>2219</v>
      </c>
      <c r="G638" s="19">
        <v>11201.0</v>
      </c>
      <c r="H638" s="21" t="s">
        <v>1173</v>
      </c>
      <c r="I638" s="21" t="s">
        <v>39</v>
      </c>
      <c r="J638" s="11">
        <v>3.06E7</v>
      </c>
      <c r="K638" s="21" t="s">
        <v>25</v>
      </c>
      <c r="L638" s="25">
        <v>41351.0</v>
      </c>
      <c r="M638" s="24" t="s">
        <v>2230</v>
      </c>
      <c r="N638" s="27" t="s">
        <v>2260</v>
      </c>
      <c r="O638" s="15">
        <f t="shared" si="1"/>
        <v>2013</v>
      </c>
      <c r="P638" s="16" t="str">
        <f t="shared" si="2"/>
        <v>USD</v>
      </c>
      <c r="Q638" s="15">
        <f>IFERROR(__xludf.DUMMYFUNCTION("IFNA(INDEX(GOOGLEFINANCE(""Currency:USD""&amp;$P638,""price"",DATE(YEAR($L638),MONTH($L638),DAY($L638))),2,2),LOOKUP(P638,CurrencyCodes,UnitsPerUSD))"),1.0)</f>
        <v>1</v>
      </c>
      <c r="R638" s="17">
        <f t="shared" si="3"/>
        <v>30600000</v>
      </c>
    </row>
    <row r="639">
      <c r="A639" s="7">
        <v>44006.34549115741</v>
      </c>
      <c r="B639" s="18" t="s">
        <v>250</v>
      </c>
      <c r="C639" s="19">
        <v>51.0</v>
      </c>
      <c r="D639" s="18" t="s">
        <v>2261</v>
      </c>
      <c r="E639" s="18" t="s">
        <v>2229</v>
      </c>
      <c r="F639" s="18" t="s">
        <v>2219</v>
      </c>
      <c r="G639" s="19">
        <v>11201.0</v>
      </c>
      <c r="H639" s="21" t="s">
        <v>1173</v>
      </c>
      <c r="I639" s="21" t="s">
        <v>39</v>
      </c>
      <c r="J639" s="11">
        <v>0.0</v>
      </c>
      <c r="K639" s="21" t="s">
        <v>25</v>
      </c>
      <c r="L639" s="25">
        <v>42492.0</v>
      </c>
      <c r="M639" s="24" t="s">
        <v>2230</v>
      </c>
      <c r="N639" s="27" t="s">
        <v>2253</v>
      </c>
      <c r="O639" s="15">
        <f t="shared" si="1"/>
        <v>2016</v>
      </c>
      <c r="P639" s="16" t="str">
        <f t="shared" si="2"/>
        <v>USD</v>
      </c>
      <c r="Q639" s="15">
        <f>IFERROR(__xludf.DUMMYFUNCTION("IFNA(INDEX(GOOGLEFINANCE(""Currency:USD""&amp;$P639,""price"",DATE(YEAR($L639),MONTH($L639),DAY($L639))),2,2),LOOKUP(P639,CurrencyCodes,UnitsPerUSD))"),1.0)</f>
        <v>1</v>
      </c>
      <c r="R639" s="17">
        <f t="shared" si="3"/>
        <v>0</v>
      </c>
    </row>
    <row r="640">
      <c r="A640" s="7">
        <v>44006.345811747684</v>
      </c>
      <c r="B640" s="8" t="s">
        <v>250</v>
      </c>
      <c r="C640" s="9">
        <v>67.0</v>
      </c>
      <c r="D640" s="8" t="s">
        <v>2261</v>
      </c>
      <c r="E640" s="8" t="s">
        <v>2229</v>
      </c>
      <c r="F640" s="8" t="s">
        <v>2219</v>
      </c>
      <c r="G640" s="9">
        <v>11201.0</v>
      </c>
      <c r="H640" s="10" t="s">
        <v>1173</v>
      </c>
      <c r="I640" s="10" t="s">
        <v>39</v>
      </c>
      <c r="J640" s="11">
        <v>0.0</v>
      </c>
      <c r="K640" s="10" t="s">
        <v>25</v>
      </c>
      <c r="L640" s="25">
        <v>42492.0</v>
      </c>
      <c r="M640" s="28" t="s">
        <v>2230</v>
      </c>
      <c r="N640" s="12" t="s">
        <v>2253</v>
      </c>
      <c r="O640" s="15">
        <f t="shared" si="1"/>
        <v>2016</v>
      </c>
      <c r="P640" s="16" t="str">
        <f t="shared" si="2"/>
        <v>USD</v>
      </c>
      <c r="Q640" s="15">
        <f>IFERROR(__xludf.DUMMYFUNCTION("IFNA(INDEX(GOOGLEFINANCE(""Currency:USD""&amp;$P640,""price"",DATE(YEAR($L640),MONTH($L640),DAY($L640))),2,2),LOOKUP(P640,CurrencyCodes,UnitsPerUSD))"),1.0)</f>
        <v>1</v>
      </c>
      <c r="R640" s="17">
        <f t="shared" si="3"/>
        <v>0</v>
      </c>
    </row>
    <row r="641">
      <c r="A641" s="7">
        <v>44006.345189699074</v>
      </c>
      <c r="B641" s="18" t="s">
        <v>250</v>
      </c>
      <c r="C641" s="19">
        <v>360.0</v>
      </c>
      <c r="D641" s="18" t="s">
        <v>2261</v>
      </c>
      <c r="E641" s="18" t="s">
        <v>2229</v>
      </c>
      <c r="F641" s="18" t="s">
        <v>2219</v>
      </c>
      <c r="G641" s="19">
        <v>11201.0</v>
      </c>
      <c r="H641" s="21" t="s">
        <v>1173</v>
      </c>
      <c r="I641" s="21" t="s">
        <v>39</v>
      </c>
      <c r="J641" s="11">
        <v>2.0502E8</v>
      </c>
      <c r="K641" s="21" t="s">
        <v>25</v>
      </c>
      <c r="L641" s="25">
        <v>38100.0</v>
      </c>
      <c r="M641" s="28" t="s">
        <v>2230</v>
      </c>
      <c r="N641" s="27" t="s">
        <v>2262</v>
      </c>
      <c r="O641" s="15">
        <f t="shared" si="1"/>
        <v>2004</v>
      </c>
      <c r="P641" s="16" t="str">
        <f t="shared" si="2"/>
        <v>USD</v>
      </c>
      <c r="Q641" s="15">
        <f>IFERROR(__xludf.DUMMYFUNCTION("IFNA(INDEX(GOOGLEFINANCE(""Currency:USD""&amp;$P641,""price"",DATE(YEAR($L641),MONTH($L641),DAY($L641))),2,2),LOOKUP(P641,CurrencyCodes,UnitsPerUSD))"),1.0)</f>
        <v>1</v>
      </c>
      <c r="R641" s="17">
        <f t="shared" si="3"/>
        <v>205020000</v>
      </c>
    </row>
    <row r="642">
      <c r="A642" s="7">
        <v>44006.346146192125</v>
      </c>
      <c r="B642" s="18" t="s">
        <v>250</v>
      </c>
      <c r="C642" s="19">
        <v>89.0</v>
      </c>
      <c r="D642" s="18" t="s">
        <v>2263</v>
      </c>
      <c r="E642" s="18" t="s">
        <v>2229</v>
      </c>
      <c r="F642" s="18" t="s">
        <v>2219</v>
      </c>
      <c r="G642" s="19">
        <v>11201.0</v>
      </c>
      <c r="H642" s="21" t="s">
        <v>1173</v>
      </c>
      <c r="I642" s="21" t="s">
        <v>39</v>
      </c>
      <c r="J642" s="11">
        <v>1.4E7</v>
      </c>
      <c r="K642" s="21" t="s">
        <v>25</v>
      </c>
      <c r="L642" s="25">
        <v>38891.0</v>
      </c>
      <c r="M642" s="24" t="s">
        <v>2230</v>
      </c>
      <c r="N642" s="27" t="s">
        <v>2264</v>
      </c>
      <c r="O642" s="15">
        <f t="shared" si="1"/>
        <v>2006</v>
      </c>
      <c r="P642" s="16" t="str">
        <f t="shared" si="2"/>
        <v>USD</v>
      </c>
      <c r="Q642" s="15">
        <f>IFERROR(__xludf.DUMMYFUNCTION("IFNA(INDEX(GOOGLEFINANCE(""Currency:USD""&amp;$P642,""price"",DATE(YEAR($L642),MONTH($L642),DAY($L642))),2,2),LOOKUP(P642,CurrencyCodes,UnitsPerUSD))"),1.0)</f>
        <v>1</v>
      </c>
      <c r="R642" s="17">
        <f t="shared" si="3"/>
        <v>14000000</v>
      </c>
    </row>
    <row r="643">
      <c r="A643" s="7">
        <v>44006.34645744213</v>
      </c>
      <c r="B643" s="18" t="s">
        <v>250</v>
      </c>
      <c r="C643" s="9">
        <v>85.0</v>
      </c>
      <c r="D643" s="8" t="s">
        <v>2265</v>
      </c>
      <c r="E643" s="18" t="s">
        <v>2229</v>
      </c>
      <c r="F643" s="18" t="s">
        <v>2219</v>
      </c>
      <c r="G643" s="19">
        <v>11201.0</v>
      </c>
      <c r="H643" s="21" t="s">
        <v>1173</v>
      </c>
      <c r="I643" s="21" t="s">
        <v>39</v>
      </c>
      <c r="J643" s="11">
        <v>3.45E8</v>
      </c>
      <c r="K643" s="21" t="s">
        <v>25</v>
      </c>
      <c r="L643" s="25">
        <v>42492.0</v>
      </c>
      <c r="M643" s="28" t="s">
        <v>2230</v>
      </c>
      <c r="N643" s="27" t="s">
        <v>2266</v>
      </c>
      <c r="O643" s="15">
        <f t="shared" si="1"/>
        <v>2016</v>
      </c>
      <c r="P643" s="16" t="str">
        <f t="shared" si="2"/>
        <v>USD</v>
      </c>
      <c r="Q643" s="15">
        <f>IFERROR(__xludf.DUMMYFUNCTION("IFNA(INDEX(GOOGLEFINANCE(""Currency:USD""&amp;$P643,""price"",DATE(YEAR($L643),MONTH($L643),DAY($L643))),2,2),LOOKUP(P643,CurrencyCodes,UnitsPerUSD))"),1.0)</f>
        <v>1</v>
      </c>
      <c r="R643" s="17">
        <f t="shared" si="3"/>
        <v>345000000</v>
      </c>
    </row>
    <row r="644">
      <c r="A644" s="7">
        <v>44006.34679465278</v>
      </c>
      <c r="B644" s="18" t="s">
        <v>250</v>
      </c>
      <c r="C644" s="19">
        <v>108.0</v>
      </c>
      <c r="D644" s="18" t="s">
        <v>2267</v>
      </c>
      <c r="E644" s="18" t="s">
        <v>2229</v>
      </c>
      <c r="F644" s="18" t="s">
        <v>2219</v>
      </c>
      <c r="G644" s="19">
        <v>11201.0</v>
      </c>
      <c r="H644" s="21" t="s">
        <v>1173</v>
      </c>
      <c r="I644" s="21" t="s">
        <v>39</v>
      </c>
      <c r="J644" s="11">
        <v>2500000.0</v>
      </c>
      <c r="K644" s="21" t="s">
        <v>25</v>
      </c>
      <c r="L644" s="25">
        <v>38405.0</v>
      </c>
      <c r="M644" s="24" t="s">
        <v>2230</v>
      </c>
      <c r="N644" s="27" t="s">
        <v>2268</v>
      </c>
      <c r="O644" s="15">
        <f t="shared" si="1"/>
        <v>2005</v>
      </c>
      <c r="P644" s="16" t="str">
        <f t="shared" si="2"/>
        <v>USD</v>
      </c>
      <c r="Q644" s="15">
        <f>IFERROR(__xludf.DUMMYFUNCTION("IFNA(INDEX(GOOGLEFINANCE(""Currency:USD""&amp;$P644,""price"",DATE(YEAR($L644),MONTH($L644),DAY($L644))),2,2),LOOKUP(P644,CurrencyCodes,UnitsPerUSD))"),1.0)</f>
        <v>1</v>
      </c>
      <c r="R644" s="17">
        <f t="shared" si="3"/>
        <v>2500000</v>
      </c>
    </row>
    <row r="645">
      <c r="A645" s="7">
        <v>44006.347126168985</v>
      </c>
      <c r="B645" s="18" t="s">
        <v>250</v>
      </c>
      <c r="C645" s="19">
        <v>67.0</v>
      </c>
      <c r="D645" s="18" t="s">
        <v>2269</v>
      </c>
      <c r="E645" s="18" t="s">
        <v>2229</v>
      </c>
      <c r="F645" s="18" t="s">
        <v>2219</v>
      </c>
      <c r="G645" s="19">
        <v>11201.0</v>
      </c>
      <c r="H645" s="21" t="s">
        <v>1173</v>
      </c>
      <c r="I645" s="21" t="s">
        <v>39</v>
      </c>
      <c r="J645" s="11">
        <v>1.86E7</v>
      </c>
      <c r="K645" s="21" t="s">
        <v>25</v>
      </c>
      <c r="L645" s="25">
        <v>39104.0</v>
      </c>
      <c r="M645" s="24" t="s">
        <v>2230</v>
      </c>
      <c r="N645" s="12" t="s">
        <v>2270</v>
      </c>
      <c r="O645" s="15">
        <f t="shared" si="1"/>
        <v>2007</v>
      </c>
      <c r="P645" s="16" t="str">
        <f t="shared" si="2"/>
        <v>USD</v>
      </c>
      <c r="Q645" s="15">
        <f>IFERROR(__xludf.DUMMYFUNCTION("IFNA(INDEX(GOOGLEFINANCE(""Currency:USD""&amp;$P645,""price"",DATE(YEAR($L645),MONTH($L645),DAY($L645))),2,2),LOOKUP(P645,CurrencyCodes,UnitsPerUSD))"),1.0)</f>
        <v>1</v>
      </c>
      <c r="R645" s="17">
        <f t="shared" si="3"/>
        <v>18600000</v>
      </c>
    </row>
    <row r="646">
      <c r="A646" s="7">
        <v>44006.34744344908</v>
      </c>
      <c r="B646" s="18" t="s">
        <v>250</v>
      </c>
      <c r="C646" s="19">
        <v>98.0</v>
      </c>
      <c r="D646" s="18" t="s">
        <v>2271</v>
      </c>
      <c r="E646" s="18" t="s">
        <v>2229</v>
      </c>
      <c r="F646" s="18" t="s">
        <v>2219</v>
      </c>
      <c r="G646" s="19">
        <v>11201.0</v>
      </c>
      <c r="H646" s="21" t="s">
        <v>1173</v>
      </c>
      <c r="I646" s="21" t="s">
        <v>39</v>
      </c>
      <c r="J646" s="11">
        <v>8.1E7</v>
      </c>
      <c r="K646" s="21" t="s">
        <v>25</v>
      </c>
      <c r="L646" s="25">
        <v>40977.0</v>
      </c>
      <c r="M646" s="24" t="s">
        <v>2230</v>
      </c>
      <c r="N646" s="27" t="s">
        <v>2272</v>
      </c>
      <c r="O646" s="15">
        <f t="shared" si="1"/>
        <v>2012</v>
      </c>
      <c r="P646" s="16" t="str">
        <f t="shared" si="2"/>
        <v>USD</v>
      </c>
      <c r="Q646" s="15">
        <f>IFERROR(__xludf.DUMMYFUNCTION("IFNA(INDEX(GOOGLEFINANCE(""Currency:USD""&amp;$P646,""price"",DATE(YEAR($L646),MONTH($L646),DAY($L646))),2,2),LOOKUP(P646,CurrencyCodes,UnitsPerUSD))"),1.0)</f>
        <v>1</v>
      </c>
      <c r="R646" s="17">
        <f t="shared" si="3"/>
        <v>81000000</v>
      </c>
    </row>
    <row r="647">
      <c r="A647" s="7">
        <v>44006.34774953703</v>
      </c>
      <c r="B647" s="8" t="s">
        <v>250</v>
      </c>
      <c r="C647" s="9">
        <v>34.0</v>
      </c>
      <c r="D647" s="8" t="s">
        <v>2273</v>
      </c>
      <c r="E647" s="8" t="s">
        <v>2229</v>
      </c>
      <c r="F647" s="8" t="s">
        <v>2219</v>
      </c>
      <c r="G647" s="9">
        <v>11201.0</v>
      </c>
      <c r="H647" s="10" t="s">
        <v>1173</v>
      </c>
      <c r="I647" s="10" t="s">
        <v>39</v>
      </c>
      <c r="J647" s="11">
        <v>2825000.0</v>
      </c>
      <c r="K647" s="10" t="s">
        <v>25</v>
      </c>
      <c r="L647" s="25">
        <v>41116.0</v>
      </c>
      <c r="M647" s="28" t="s">
        <v>2230</v>
      </c>
      <c r="N647" s="12" t="s">
        <v>2274</v>
      </c>
      <c r="O647" s="15">
        <f t="shared" si="1"/>
        <v>2012</v>
      </c>
      <c r="P647" s="16" t="str">
        <f t="shared" si="2"/>
        <v>USD</v>
      </c>
      <c r="Q647" s="15">
        <f>IFERROR(__xludf.DUMMYFUNCTION("IFNA(INDEX(GOOGLEFINANCE(""Currency:USD""&amp;$P647,""price"",DATE(YEAR($L647),MONTH($L647),DAY($L647))),2,2),LOOKUP(P647,CurrencyCodes,UnitsPerUSD))"),1.0)</f>
        <v>1</v>
      </c>
      <c r="R647" s="17">
        <f t="shared" si="3"/>
        <v>2825000</v>
      </c>
    </row>
    <row r="648">
      <c r="A648" s="7">
        <v>44006.34806646991</v>
      </c>
      <c r="B648" s="18" t="s">
        <v>250</v>
      </c>
      <c r="C648" s="19">
        <v>50.0</v>
      </c>
      <c r="D648" s="18" t="s">
        <v>2275</v>
      </c>
      <c r="E648" s="18" t="s">
        <v>2229</v>
      </c>
      <c r="F648" s="18" t="s">
        <v>2219</v>
      </c>
      <c r="G648" s="19">
        <v>11201.0</v>
      </c>
      <c r="H648" s="21" t="s">
        <v>1173</v>
      </c>
      <c r="I648" s="21" t="s">
        <v>39</v>
      </c>
      <c r="J648" s="11">
        <v>7100000.0</v>
      </c>
      <c r="K648" s="21" t="s">
        <v>25</v>
      </c>
      <c r="L648" s="25">
        <v>40847.0</v>
      </c>
      <c r="M648" s="24" t="s">
        <v>2230</v>
      </c>
      <c r="N648" s="27" t="s">
        <v>2276</v>
      </c>
      <c r="O648" s="15">
        <f t="shared" si="1"/>
        <v>2011</v>
      </c>
      <c r="P648" s="16" t="str">
        <f t="shared" si="2"/>
        <v>USD</v>
      </c>
      <c r="Q648" s="15">
        <f>IFERROR(__xludf.DUMMYFUNCTION("IFNA(INDEX(GOOGLEFINANCE(""Currency:USD""&amp;$P648,""price"",DATE(YEAR($L648),MONTH($L648),DAY($L648))),2,2),LOOKUP(P648,CurrencyCodes,UnitsPerUSD))"),1.0)</f>
        <v>1</v>
      </c>
      <c r="R648" s="17">
        <f t="shared" si="3"/>
        <v>7100000</v>
      </c>
    </row>
    <row r="649">
      <c r="A649" s="7">
        <v>44006.348707488425</v>
      </c>
      <c r="B649" s="8" t="s">
        <v>250</v>
      </c>
      <c r="C649" s="9">
        <v>137.0</v>
      </c>
      <c r="D649" s="8" t="s">
        <v>2277</v>
      </c>
      <c r="E649" s="8" t="s">
        <v>2229</v>
      </c>
      <c r="F649" s="8" t="s">
        <v>2219</v>
      </c>
      <c r="G649" s="9">
        <v>11201.0</v>
      </c>
      <c r="H649" s="10" t="s">
        <v>1173</v>
      </c>
      <c r="I649" s="10" t="s">
        <v>39</v>
      </c>
      <c r="J649" s="11">
        <v>5.4E7</v>
      </c>
      <c r="K649" s="10" t="s">
        <v>25</v>
      </c>
      <c r="L649" s="25">
        <v>41460.0</v>
      </c>
      <c r="M649" s="28" t="s">
        <v>2230</v>
      </c>
      <c r="N649" s="12" t="s">
        <v>2278</v>
      </c>
      <c r="O649" s="15">
        <f t="shared" si="1"/>
        <v>2013</v>
      </c>
      <c r="P649" s="16" t="str">
        <f t="shared" si="2"/>
        <v>USD</v>
      </c>
      <c r="Q649" s="15">
        <f>IFERROR(__xludf.DUMMYFUNCTION("IFNA(INDEX(GOOGLEFINANCE(""Currency:USD""&amp;$P649,""price"",DATE(YEAR($L649),MONTH($L649),DAY($L649))),2,2),LOOKUP(P649,CurrencyCodes,UnitsPerUSD))"),1.0)</f>
        <v>1</v>
      </c>
      <c r="R649" s="17">
        <f t="shared" si="3"/>
        <v>54000000</v>
      </c>
    </row>
    <row r="650">
      <c r="A650" s="7">
        <v>44006.34836452546</v>
      </c>
      <c r="B650" s="8" t="s">
        <v>250</v>
      </c>
      <c r="C650" s="9">
        <v>175.0</v>
      </c>
      <c r="D650" s="8" t="s">
        <v>2277</v>
      </c>
      <c r="E650" s="8" t="s">
        <v>2229</v>
      </c>
      <c r="F650" s="8" t="s">
        <v>2219</v>
      </c>
      <c r="G650" s="9">
        <v>11201.0</v>
      </c>
      <c r="H650" s="10" t="s">
        <v>1173</v>
      </c>
      <c r="I650" s="10" t="s">
        <v>39</v>
      </c>
      <c r="J650" s="11">
        <v>5.3E7</v>
      </c>
      <c r="K650" s="10" t="s">
        <v>25</v>
      </c>
      <c r="L650" s="25">
        <v>41460.0</v>
      </c>
      <c r="M650" s="28" t="s">
        <v>2230</v>
      </c>
      <c r="N650" s="12" t="s">
        <v>2279</v>
      </c>
      <c r="O650" s="15">
        <f t="shared" si="1"/>
        <v>2013</v>
      </c>
      <c r="P650" s="16" t="str">
        <f t="shared" si="2"/>
        <v>USD</v>
      </c>
      <c r="Q650" s="15">
        <f>IFERROR(__xludf.DUMMYFUNCTION("IFNA(INDEX(GOOGLEFINANCE(""Currency:USD""&amp;$P650,""price"",DATE(YEAR($L650),MONTH($L650),DAY($L650))),2,2),LOOKUP(P650,CurrencyCodes,UnitsPerUSD))"),1.0)</f>
        <v>1</v>
      </c>
      <c r="R650" s="17">
        <f t="shared" si="3"/>
        <v>53000000</v>
      </c>
    </row>
    <row r="651">
      <c r="A651" s="7">
        <v>44006.349308136574</v>
      </c>
      <c r="B651" s="18" t="s">
        <v>250</v>
      </c>
      <c r="C651" s="19">
        <v>64.0</v>
      </c>
      <c r="D651" s="18" t="s">
        <v>2280</v>
      </c>
      <c r="E651" s="18" t="s">
        <v>2229</v>
      </c>
      <c r="F651" s="18" t="s">
        <v>2219</v>
      </c>
      <c r="G651" s="19">
        <v>11201.0</v>
      </c>
      <c r="H651" s="21" t="s">
        <v>1173</v>
      </c>
      <c r="I651" s="21" t="s">
        <v>39</v>
      </c>
      <c r="J651" s="11">
        <v>4.6E7</v>
      </c>
      <c r="K651" s="21" t="s">
        <v>25</v>
      </c>
      <c r="L651" s="25">
        <v>41460.0</v>
      </c>
      <c r="M651" s="24" t="s">
        <v>2230</v>
      </c>
      <c r="N651" s="27" t="s">
        <v>2281</v>
      </c>
      <c r="O651" s="15">
        <f t="shared" si="1"/>
        <v>2013</v>
      </c>
      <c r="P651" s="16" t="str">
        <f t="shared" si="2"/>
        <v>USD</v>
      </c>
      <c r="Q651" s="15">
        <f>IFERROR(__xludf.DUMMYFUNCTION("IFNA(INDEX(GOOGLEFINANCE(""Currency:USD""&amp;$P651,""price"",DATE(YEAR($L651),MONTH($L651),DAY($L651))),2,2),LOOKUP(P651,CurrencyCodes,UnitsPerUSD))"),1.0)</f>
        <v>1</v>
      </c>
      <c r="R651" s="17">
        <f t="shared" si="3"/>
        <v>46000000</v>
      </c>
    </row>
    <row r="652">
      <c r="A652" s="7">
        <v>44006.34899196759</v>
      </c>
      <c r="B652" s="18" t="s">
        <v>250</v>
      </c>
      <c r="C652" s="19">
        <v>81.0</v>
      </c>
      <c r="D652" s="18" t="s">
        <v>2280</v>
      </c>
      <c r="E652" s="18" t="s">
        <v>2229</v>
      </c>
      <c r="F652" s="18" t="s">
        <v>2219</v>
      </c>
      <c r="G652" s="19">
        <v>11201.0</v>
      </c>
      <c r="H652" s="21" t="s">
        <v>1173</v>
      </c>
      <c r="I652" s="21" t="s">
        <v>39</v>
      </c>
      <c r="J652" s="11">
        <v>2.3E7</v>
      </c>
      <c r="K652" s="21" t="s">
        <v>25</v>
      </c>
      <c r="L652" s="25">
        <v>41460.0</v>
      </c>
      <c r="M652" s="24" t="s">
        <v>2230</v>
      </c>
      <c r="N652" s="27" t="s">
        <v>2282</v>
      </c>
      <c r="O652" s="15">
        <f t="shared" si="1"/>
        <v>2013</v>
      </c>
      <c r="P652" s="16" t="str">
        <f t="shared" si="2"/>
        <v>USD</v>
      </c>
      <c r="Q652" s="15">
        <f>IFERROR(__xludf.DUMMYFUNCTION("IFNA(INDEX(GOOGLEFINANCE(""Currency:USD""&amp;$P652,""price"",DATE(YEAR($L652),MONTH($L652),DAY($L652))),2,2),LOOKUP(P652,CurrencyCodes,UnitsPerUSD))"),1.0)</f>
        <v>1</v>
      </c>
      <c r="R652" s="17">
        <f t="shared" si="3"/>
        <v>23000000</v>
      </c>
    </row>
    <row r="653">
      <c r="A653" s="7">
        <v>44006.34961851852</v>
      </c>
      <c r="B653" s="18" t="s">
        <v>250</v>
      </c>
      <c r="C653" s="19">
        <v>67.0</v>
      </c>
      <c r="D653" s="18" t="s">
        <v>2283</v>
      </c>
      <c r="E653" s="18" t="s">
        <v>2229</v>
      </c>
      <c r="F653" s="18" t="s">
        <v>2219</v>
      </c>
      <c r="G653" s="19">
        <v>11201.0</v>
      </c>
      <c r="H653" s="21" t="s">
        <v>1173</v>
      </c>
      <c r="I653" s="21" t="s">
        <v>39</v>
      </c>
      <c r="J653" s="11">
        <v>3250000.0</v>
      </c>
      <c r="K653" s="21" t="s">
        <v>25</v>
      </c>
      <c r="L653" s="25">
        <v>41137.0</v>
      </c>
      <c r="M653" s="28" t="s">
        <v>2230</v>
      </c>
      <c r="N653" s="12" t="s">
        <v>2284</v>
      </c>
      <c r="O653" s="15">
        <f t="shared" si="1"/>
        <v>2012</v>
      </c>
      <c r="P653" s="16" t="str">
        <f t="shared" si="2"/>
        <v>USD</v>
      </c>
      <c r="Q653" s="15">
        <f>IFERROR(__xludf.DUMMYFUNCTION("IFNA(INDEX(GOOGLEFINANCE(""Currency:USD""&amp;$P653,""price"",DATE(YEAR($L653),MONTH($L653),DAY($L653))),2,2),LOOKUP(P653,CurrencyCodes,UnitsPerUSD))"),1.0)</f>
        <v>1</v>
      </c>
      <c r="R653" s="17">
        <f t="shared" si="3"/>
        <v>3250000</v>
      </c>
    </row>
    <row r="654">
      <c r="A654" s="7">
        <v>44006.349930625</v>
      </c>
      <c r="B654" s="18" t="s">
        <v>250</v>
      </c>
      <c r="C654" s="19">
        <v>90.0</v>
      </c>
      <c r="D654" s="18" t="s">
        <v>2285</v>
      </c>
      <c r="E654" s="18" t="s">
        <v>2229</v>
      </c>
      <c r="F654" s="18" t="s">
        <v>2219</v>
      </c>
      <c r="G654" s="19">
        <v>11201.0</v>
      </c>
      <c r="H654" s="21" t="s">
        <v>1173</v>
      </c>
      <c r="I654" s="21" t="s">
        <v>39</v>
      </c>
      <c r="J654" s="11">
        <v>1.35E8</v>
      </c>
      <c r="K654" s="21" t="s">
        <v>25</v>
      </c>
      <c r="L654" s="25">
        <v>41460.0</v>
      </c>
      <c r="M654" s="24" t="s">
        <v>2230</v>
      </c>
      <c r="N654" s="12" t="s">
        <v>2286</v>
      </c>
      <c r="O654" s="15">
        <f t="shared" si="1"/>
        <v>2013</v>
      </c>
      <c r="P654" s="16" t="str">
        <f t="shared" si="2"/>
        <v>USD</v>
      </c>
      <c r="Q654" s="15">
        <f>IFERROR(__xludf.DUMMYFUNCTION("IFNA(INDEX(GOOGLEFINANCE(""Currency:USD""&amp;$P654,""price"",DATE(YEAR($L654),MONTH($L654),DAY($L654))),2,2),LOOKUP(P654,CurrencyCodes,UnitsPerUSD))"),1.0)</f>
        <v>1</v>
      </c>
      <c r="R654" s="17">
        <f t="shared" si="3"/>
        <v>135000000</v>
      </c>
    </row>
    <row r="655">
      <c r="A655" s="7">
        <v>44006.350226574075</v>
      </c>
      <c r="B655" s="18" t="s">
        <v>250</v>
      </c>
      <c r="C655" s="9">
        <v>200.0</v>
      </c>
      <c r="D655" s="8" t="s">
        <v>2287</v>
      </c>
      <c r="E655" s="18" t="s">
        <v>2229</v>
      </c>
      <c r="F655" s="8" t="s">
        <v>2219</v>
      </c>
      <c r="G655" s="9">
        <v>11201.0</v>
      </c>
      <c r="H655" s="21" t="s">
        <v>1173</v>
      </c>
      <c r="I655" s="21" t="s">
        <v>39</v>
      </c>
      <c r="J655" s="11">
        <v>0.0</v>
      </c>
      <c r="K655" s="21" t="s">
        <v>25</v>
      </c>
      <c r="L655" s="25">
        <v>41282.0</v>
      </c>
      <c r="M655" s="28" t="s">
        <v>2230</v>
      </c>
      <c r="N655" s="27" t="s">
        <v>2288</v>
      </c>
      <c r="O655" s="15">
        <f t="shared" si="1"/>
        <v>2013</v>
      </c>
      <c r="P655" s="16" t="str">
        <f t="shared" si="2"/>
        <v>USD</v>
      </c>
      <c r="Q655" s="15">
        <f>IFERROR(__xludf.DUMMYFUNCTION("IFNA(INDEX(GOOGLEFINANCE(""Currency:USD""&amp;$P655,""price"",DATE(YEAR($L655),MONTH($L655),DAY($L655))),2,2),LOOKUP(P655,CurrencyCodes,UnitsPerUSD))"),1.0)</f>
        <v>1</v>
      </c>
      <c r="R655" s="17">
        <f t="shared" si="3"/>
        <v>0</v>
      </c>
    </row>
    <row r="656">
      <c r="A656" s="7">
        <v>44006.35089688658</v>
      </c>
      <c r="B656" s="18" t="s">
        <v>250</v>
      </c>
      <c r="C656" s="19">
        <v>76.0</v>
      </c>
      <c r="D656" s="18" t="s">
        <v>2289</v>
      </c>
      <c r="E656" s="18" t="s">
        <v>2229</v>
      </c>
      <c r="F656" s="18" t="s">
        <v>2219</v>
      </c>
      <c r="G656" s="19">
        <v>11201.0</v>
      </c>
      <c r="H656" s="21" t="s">
        <v>1173</v>
      </c>
      <c r="I656" s="21" t="s">
        <v>39</v>
      </c>
      <c r="J656" s="11">
        <v>3025000.0</v>
      </c>
      <c r="K656" s="21" t="s">
        <v>25</v>
      </c>
      <c r="L656" s="25">
        <v>41355.0</v>
      </c>
      <c r="M656" s="24" t="s">
        <v>2230</v>
      </c>
      <c r="N656" s="27" t="s">
        <v>2290</v>
      </c>
      <c r="O656" s="15">
        <f t="shared" si="1"/>
        <v>2013</v>
      </c>
      <c r="P656" s="16" t="str">
        <f t="shared" si="2"/>
        <v>USD</v>
      </c>
      <c r="Q656" s="15">
        <f>IFERROR(__xludf.DUMMYFUNCTION("IFNA(INDEX(GOOGLEFINANCE(""Currency:USD""&amp;$P656,""price"",DATE(YEAR($L656),MONTH($L656),DAY($L656))),2,2),LOOKUP(P656,CurrencyCodes,UnitsPerUSD))"),1.0)</f>
        <v>1</v>
      </c>
      <c r="R656" s="17">
        <f t="shared" si="3"/>
        <v>3025000</v>
      </c>
    </row>
    <row r="657">
      <c r="A657" s="7">
        <v>43928.75598594907</v>
      </c>
      <c r="B657" s="18" t="s">
        <v>250</v>
      </c>
      <c r="C657" s="19">
        <v>80.0</v>
      </c>
      <c r="D657" s="18" t="s">
        <v>2289</v>
      </c>
      <c r="E657" s="18" t="s">
        <v>2229</v>
      </c>
      <c r="F657" s="18" t="s">
        <v>2219</v>
      </c>
      <c r="G657" s="19">
        <v>11201.0</v>
      </c>
      <c r="H657" s="21" t="s">
        <v>1173</v>
      </c>
      <c r="I657" s="21" t="s">
        <v>24</v>
      </c>
      <c r="J657" s="11">
        <v>536000.0</v>
      </c>
      <c r="K657" s="27" t="s">
        <v>25</v>
      </c>
      <c r="L657" s="22"/>
      <c r="M657" s="24" t="s">
        <v>2291</v>
      </c>
      <c r="N657" s="27" t="s">
        <v>2292</v>
      </c>
      <c r="O657" s="15" t="str">
        <f t="shared" si="1"/>
        <v>Unknown</v>
      </c>
      <c r="P657" s="16" t="str">
        <f t="shared" si="2"/>
        <v>USD</v>
      </c>
      <c r="Q657" s="15">
        <f>IFERROR(__xludf.DUMMYFUNCTION("IFNA(INDEX(GOOGLEFINANCE(""Currency:USD""&amp;$P657,""price"",DATE(YEAR($L657),MONTH($L657),DAY($L657))),2,2),LOOKUP(P657,CurrencyCodes,UnitsPerUSD))"),1.0)</f>
        <v>1</v>
      </c>
      <c r="R657" s="17">
        <f t="shared" si="3"/>
        <v>536000</v>
      </c>
    </row>
    <row r="658">
      <c r="A658" s="7">
        <v>43928.75135091435</v>
      </c>
      <c r="B658" s="18" t="s">
        <v>250</v>
      </c>
      <c r="C658" s="9">
        <v>86.0</v>
      </c>
      <c r="D658" s="18" t="s">
        <v>2289</v>
      </c>
      <c r="E658" s="18" t="s">
        <v>2229</v>
      </c>
      <c r="F658" s="18" t="s">
        <v>2219</v>
      </c>
      <c r="G658" s="19">
        <v>11201.0</v>
      </c>
      <c r="H658" s="21" t="s">
        <v>1173</v>
      </c>
      <c r="I658" s="21" t="s">
        <v>24</v>
      </c>
      <c r="J658" s="11">
        <v>825000.0</v>
      </c>
      <c r="K658" s="27" t="s">
        <v>25</v>
      </c>
      <c r="L658" s="22"/>
      <c r="M658" s="24" t="s">
        <v>2293</v>
      </c>
      <c r="N658" s="12" t="s">
        <v>2294</v>
      </c>
      <c r="O658" s="15" t="str">
        <f t="shared" si="1"/>
        <v>Unknown</v>
      </c>
      <c r="P658" s="16" t="str">
        <f t="shared" si="2"/>
        <v>USD</v>
      </c>
      <c r="Q658" s="15">
        <f>IFERROR(__xludf.DUMMYFUNCTION("IFNA(INDEX(GOOGLEFINANCE(""Currency:USD""&amp;$P658,""price"",DATE(YEAR($L658),MONTH($L658),DAY($L658))),2,2),LOOKUP(P658,CurrencyCodes,UnitsPerUSD))"),1.0)</f>
        <v>1</v>
      </c>
      <c r="R658" s="17">
        <f t="shared" si="3"/>
        <v>825000</v>
      </c>
    </row>
    <row r="659">
      <c r="A659" s="7">
        <v>44006.3505587963</v>
      </c>
      <c r="B659" s="18" t="s">
        <v>250</v>
      </c>
      <c r="C659" s="19">
        <v>105.0</v>
      </c>
      <c r="D659" s="18" t="s">
        <v>2289</v>
      </c>
      <c r="E659" s="18" t="s">
        <v>2229</v>
      </c>
      <c r="F659" s="18" t="s">
        <v>2219</v>
      </c>
      <c r="G659" s="19">
        <v>11201.0</v>
      </c>
      <c r="H659" s="21" t="s">
        <v>1173</v>
      </c>
      <c r="I659" s="21" t="s">
        <v>39</v>
      </c>
      <c r="J659" s="11">
        <v>3330000.0</v>
      </c>
      <c r="K659" s="21" t="s">
        <v>25</v>
      </c>
      <c r="L659" s="25">
        <v>40966.0</v>
      </c>
      <c r="M659" s="24" t="s">
        <v>2230</v>
      </c>
      <c r="N659" s="12" t="s">
        <v>2295</v>
      </c>
      <c r="O659" s="15">
        <f t="shared" si="1"/>
        <v>2012</v>
      </c>
      <c r="P659" s="16" t="str">
        <f t="shared" si="2"/>
        <v>USD</v>
      </c>
      <c r="Q659" s="15">
        <f>IFERROR(__xludf.DUMMYFUNCTION("IFNA(INDEX(GOOGLEFINANCE(""Currency:USD""&amp;$P659,""price"",DATE(YEAR($L659),MONTH($L659),DAY($L659))),2,2),LOOKUP(P659,CurrencyCodes,UnitsPerUSD))"),1.0)</f>
        <v>1</v>
      </c>
      <c r="R659" s="17">
        <f t="shared" si="3"/>
        <v>3330000</v>
      </c>
    </row>
    <row r="660">
      <c r="A660" s="7">
        <v>43897.48872702546</v>
      </c>
      <c r="B660" s="18" t="s">
        <v>18</v>
      </c>
      <c r="C660" s="9">
        <v>1128.0</v>
      </c>
      <c r="D660" s="8" t="s">
        <v>2296</v>
      </c>
      <c r="E660" s="18" t="s">
        <v>2297</v>
      </c>
      <c r="F660" s="8" t="s">
        <v>2219</v>
      </c>
      <c r="G660" s="19"/>
      <c r="H660" s="21" t="s">
        <v>1173</v>
      </c>
      <c r="I660" s="21" t="s">
        <v>39</v>
      </c>
      <c r="J660" s="11">
        <v>2450000.0</v>
      </c>
      <c r="K660" s="27" t="s">
        <v>25</v>
      </c>
      <c r="L660" s="22"/>
      <c r="M660" s="10"/>
      <c r="N660" s="21"/>
      <c r="O660" s="15" t="str">
        <f t="shared" si="1"/>
        <v>Unknown</v>
      </c>
      <c r="P660" s="16" t="str">
        <f t="shared" si="2"/>
        <v>USD</v>
      </c>
      <c r="Q660" s="15">
        <f>IFERROR(__xludf.DUMMYFUNCTION("IFNA(INDEX(GOOGLEFINANCE(""Currency:USD""&amp;$P660,""price"",DATE(YEAR($L660),MONTH($L660),DAY($L660))),2,2),LOOKUP(P660,CurrencyCodes,UnitsPerUSD))"),1.0)</f>
        <v>1</v>
      </c>
      <c r="R660" s="17">
        <f t="shared" si="3"/>
        <v>2450000</v>
      </c>
    </row>
    <row r="661">
      <c r="A661" s="7">
        <v>44020.24388255787</v>
      </c>
      <c r="B661" s="8" t="s">
        <v>18</v>
      </c>
      <c r="C661" s="9">
        <v>4.0</v>
      </c>
      <c r="D661" s="8" t="s">
        <v>2298</v>
      </c>
      <c r="E661" s="8" t="s">
        <v>2299</v>
      </c>
      <c r="F661" s="8" t="s">
        <v>2219</v>
      </c>
      <c r="G661" s="9">
        <v>14216.0</v>
      </c>
      <c r="H661" s="10" t="s">
        <v>1173</v>
      </c>
      <c r="I661" s="10" t="s">
        <v>39</v>
      </c>
      <c r="J661" s="11">
        <v>0.0</v>
      </c>
      <c r="K661" s="12" t="s">
        <v>25</v>
      </c>
      <c r="L661" s="13"/>
      <c r="M661" s="28" t="s">
        <v>2300</v>
      </c>
      <c r="N661" s="12" t="s">
        <v>2301</v>
      </c>
      <c r="O661" s="15" t="str">
        <f t="shared" si="1"/>
        <v>Unknown</v>
      </c>
      <c r="P661" s="16" t="str">
        <f t="shared" si="2"/>
        <v>USD</v>
      </c>
      <c r="Q661" s="15">
        <f>IFERROR(__xludf.DUMMYFUNCTION("IFNA(INDEX(GOOGLEFINANCE(""Currency:USD""&amp;$P661,""price"",DATE(YEAR($L661),MONTH($L661),DAY($L661))),2,2),LOOKUP(P661,CurrencyCodes,UnitsPerUSD))"),1.0)</f>
        <v>1</v>
      </c>
      <c r="R661" s="17">
        <f t="shared" si="3"/>
        <v>0</v>
      </c>
    </row>
    <row r="662">
      <c r="A662" s="7">
        <v>44020.23859841435</v>
      </c>
      <c r="B662" s="8" t="s">
        <v>18</v>
      </c>
      <c r="C662" s="9">
        <v>500.0</v>
      </c>
      <c r="D662" s="8" t="s">
        <v>2302</v>
      </c>
      <c r="E662" s="8" t="s">
        <v>2299</v>
      </c>
      <c r="F662" s="8" t="s">
        <v>2219</v>
      </c>
      <c r="G662" s="9">
        <v>14210.0</v>
      </c>
      <c r="H662" s="10" t="s">
        <v>1173</v>
      </c>
      <c r="I662" s="10" t="s">
        <v>39</v>
      </c>
      <c r="J662" s="11">
        <v>135000.0</v>
      </c>
      <c r="K662" s="10" t="s">
        <v>25</v>
      </c>
      <c r="L662" s="25">
        <v>42323.0</v>
      </c>
      <c r="M662" s="28" t="s">
        <v>2303</v>
      </c>
      <c r="N662" s="10" t="s">
        <v>2304</v>
      </c>
      <c r="O662" s="15">
        <f t="shared" si="1"/>
        <v>2015</v>
      </c>
      <c r="P662" s="16" t="str">
        <f t="shared" si="2"/>
        <v>USD</v>
      </c>
      <c r="Q662" s="15">
        <f>IFERROR(__xludf.DUMMYFUNCTION("IFNA(INDEX(GOOGLEFINANCE(""Currency:USD""&amp;$P662,""price"",DATE(YEAR($L662),MONTH($L662),DAY($L662))),2,2),LOOKUP(P662,CurrencyCodes,UnitsPerUSD))"),1.0)</f>
        <v>1</v>
      </c>
      <c r="R662" s="17">
        <f t="shared" si="3"/>
        <v>135000</v>
      </c>
    </row>
    <row r="663">
      <c r="A663" s="7">
        <v>43931.54505885417</v>
      </c>
      <c r="B663" s="18" t="s">
        <v>18</v>
      </c>
      <c r="C663" s="9">
        <v>1040.0</v>
      </c>
      <c r="D663" s="8" t="s">
        <v>2305</v>
      </c>
      <c r="E663" s="18" t="s">
        <v>2306</v>
      </c>
      <c r="F663" s="8" t="s">
        <v>2219</v>
      </c>
      <c r="G663" s="9">
        <v>13743.0</v>
      </c>
      <c r="H663" s="21" t="s">
        <v>1173</v>
      </c>
      <c r="I663" s="21" t="s">
        <v>24</v>
      </c>
      <c r="J663" s="11">
        <v>199500.0</v>
      </c>
      <c r="K663" s="21" t="s">
        <v>25</v>
      </c>
      <c r="L663" s="25">
        <v>43452.0</v>
      </c>
      <c r="M663" s="14" t="s">
        <v>2307</v>
      </c>
      <c r="N663" s="10"/>
      <c r="O663" s="15">
        <f t="shared" si="1"/>
        <v>2018</v>
      </c>
      <c r="P663" s="16" t="str">
        <f t="shared" si="2"/>
        <v>USD</v>
      </c>
      <c r="Q663" s="15">
        <f>IFERROR(__xludf.DUMMYFUNCTION("IFNA(INDEX(GOOGLEFINANCE(""Currency:USD""&amp;$P663,""price"",DATE(YEAR($L663),MONTH($L663),DAY($L663))),2,2),LOOKUP(P663,CurrencyCodes,UnitsPerUSD))"),1.0)</f>
        <v>1</v>
      </c>
      <c r="R663" s="17">
        <f t="shared" si="3"/>
        <v>199500</v>
      </c>
    </row>
    <row r="664">
      <c r="A664" s="7">
        <v>44023.29912210648</v>
      </c>
      <c r="B664" s="8" t="s">
        <v>18</v>
      </c>
      <c r="C664" s="9">
        <v>85.0</v>
      </c>
      <c r="D664" s="8" t="s">
        <v>2308</v>
      </c>
      <c r="E664" s="8" t="s">
        <v>2309</v>
      </c>
      <c r="F664" s="8" t="s">
        <v>2219</v>
      </c>
      <c r="G664" s="9">
        <v>14428.0</v>
      </c>
      <c r="H664" s="10" t="s">
        <v>1173</v>
      </c>
      <c r="I664" s="10" t="s">
        <v>39</v>
      </c>
      <c r="J664" s="11">
        <v>395000.0</v>
      </c>
      <c r="K664" s="10" t="s">
        <v>25</v>
      </c>
      <c r="L664" s="25">
        <v>43417.0</v>
      </c>
      <c r="M664" s="14" t="s">
        <v>2310</v>
      </c>
      <c r="N664" s="10"/>
      <c r="O664" s="15">
        <f t="shared" si="1"/>
        <v>2018</v>
      </c>
      <c r="P664" s="16" t="str">
        <f t="shared" si="2"/>
        <v>USD</v>
      </c>
      <c r="Q664" s="15">
        <f>IFERROR(__xludf.DUMMYFUNCTION("IFNA(INDEX(GOOGLEFINANCE(""Currency:USD""&amp;$P664,""price"",DATE(YEAR($L664),MONTH($L664),DAY($L664))),2,2),LOOKUP(P664,CurrencyCodes,UnitsPerUSD))"),1.0)</f>
        <v>1</v>
      </c>
      <c r="R664" s="17">
        <f t="shared" si="3"/>
        <v>395000</v>
      </c>
    </row>
    <row r="665">
      <c r="A665" s="7">
        <v>44029.14074782407</v>
      </c>
      <c r="B665" s="8" t="s">
        <v>18</v>
      </c>
      <c r="C665" s="9">
        <v>5595.0</v>
      </c>
      <c r="D665" s="8" t="s">
        <v>2311</v>
      </c>
      <c r="E665" s="8" t="s">
        <v>2312</v>
      </c>
      <c r="F665" s="8" t="s">
        <v>2219</v>
      </c>
      <c r="G665" s="9">
        <v>14032.0</v>
      </c>
      <c r="H665" s="10" t="s">
        <v>1173</v>
      </c>
      <c r="I665" s="10" t="s">
        <v>39</v>
      </c>
      <c r="J665" s="11">
        <v>227000.0</v>
      </c>
      <c r="K665" s="10" t="s">
        <v>25</v>
      </c>
      <c r="L665" s="25">
        <v>41304.0</v>
      </c>
      <c r="M665" s="14" t="s">
        <v>2313</v>
      </c>
      <c r="N665" s="10"/>
      <c r="O665" s="15">
        <f t="shared" si="1"/>
        <v>2013</v>
      </c>
      <c r="P665" s="16" t="str">
        <f t="shared" si="2"/>
        <v>USD</v>
      </c>
      <c r="Q665" s="15">
        <f>IFERROR(__xludf.DUMMYFUNCTION("IFNA(INDEX(GOOGLEFINANCE(""Currency:USD""&amp;$P665,""price"",DATE(YEAR($L665),MONTH($L665),DAY($L665))),2,2),LOOKUP(P665,CurrencyCodes,UnitsPerUSD))"),1.0)</f>
        <v>1</v>
      </c>
      <c r="R665" s="17">
        <f t="shared" si="3"/>
        <v>227000</v>
      </c>
    </row>
    <row r="666">
      <c r="A666" s="7">
        <v>44023.3519909375</v>
      </c>
      <c r="B666" s="8" t="s">
        <v>18</v>
      </c>
      <c r="C666" s="9">
        <v>78.0</v>
      </c>
      <c r="D666" s="8" t="s">
        <v>2314</v>
      </c>
      <c r="E666" s="8" t="s">
        <v>2315</v>
      </c>
      <c r="F666" s="8" t="s">
        <v>2219</v>
      </c>
      <c r="G666" s="9">
        <v>13045.0</v>
      </c>
      <c r="H666" s="10" t="s">
        <v>1173</v>
      </c>
      <c r="I666" s="10" t="s">
        <v>39</v>
      </c>
      <c r="J666" s="11">
        <v>150000.0</v>
      </c>
      <c r="K666" s="10" t="s">
        <v>25</v>
      </c>
      <c r="L666" s="25">
        <v>43404.0</v>
      </c>
      <c r="M666" s="28" t="s">
        <v>2316</v>
      </c>
      <c r="N666" s="10" t="s">
        <v>2317</v>
      </c>
      <c r="O666" s="15">
        <f t="shared" si="1"/>
        <v>2018</v>
      </c>
      <c r="P666" s="16" t="str">
        <f t="shared" si="2"/>
        <v>USD</v>
      </c>
      <c r="Q666" s="15">
        <f>IFERROR(__xludf.DUMMYFUNCTION("IFNA(INDEX(GOOGLEFINANCE(""Currency:USD""&amp;$P666,""price"",DATE(YEAR($L666),MONTH($L666),DAY($L666))),2,2),LOOKUP(P666,CurrencyCodes,UnitsPerUSD))"),1.0)</f>
        <v>1</v>
      </c>
      <c r="R666" s="17">
        <f t="shared" si="3"/>
        <v>150000</v>
      </c>
    </row>
    <row r="667">
      <c r="A667" s="7">
        <v>43898.521750381944</v>
      </c>
      <c r="B667" s="18" t="s">
        <v>18</v>
      </c>
      <c r="C667" s="19">
        <v>2240.0</v>
      </c>
      <c r="D667" s="18" t="s">
        <v>2318</v>
      </c>
      <c r="E667" s="18" t="s">
        <v>2319</v>
      </c>
      <c r="F667" s="18" t="s">
        <v>2219</v>
      </c>
      <c r="G667" s="19"/>
      <c r="H667" s="21" t="s">
        <v>1173</v>
      </c>
      <c r="I667" s="21" t="s">
        <v>39</v>
      </c>
      <c r="J667" s="11">
        <v>189000.0</v>
      </c>
      <c r="K667" s="21" t="s">
        <v>25</v>
      </c>
      <c r="L667" s="25">
        <v>43515.0</v>
      </c>
      <c r="M667" s="14" t="s">
        <v>2320</v>
      </c>
      <c r="N667" s="21"/>
      <c r="O667" s="15">
        <f t="shared" si="1"/>
        <v>2019</v>
      </c>
      <c r="P667" s="16" t="str">
        <f t="shared" si="2"/>
        <v>USD</v>
      </c>
      <c r="Q667" s="15">
        <f>IFERROR(__xludf.DUMMYFUNCTION("IFNA(INDEX(GOOGLEFINANCE(""Currency:USD""&amp;$P667,""price"",DATE(YEAR($L667),MONTH($L667),DAY($L667))),2,2),LOOKUP(P667,CurrencyCodes,UnitsPerUSD))"),1.0)</f>
        <v>1</v>
      </c>
      <c r="R667" s="17">
        <f t="shared" si="3"/>
        <v>189000</v>
      </c>
    </row>
    <row r="668">
      <c r="A668" s="7">
        <v>43898.52907682871</v>
      </c>
      <c r="B668" s="18" t="s">
        <v>18</v>
      </c>
      <c r="C668" s="19"/>
      <c r="D668" s="18"/>
      <c r="E668" s="18" t="s">
        <v>2321</v>
      </c>
      <c r="F668" s="18" t="s">
        <v>2219</v>
      </c>
      <c r="G668" s="9"/>
      <c r="H668" s="21" t="s">
        <v>1173</v>
      </c>
      <c r="I668" s="21" t="s">
        <v>39</v>
      </c>
      <c r="J668" s="11">
        <v>165000.0</v>
      </c>
      <c r="K668" s="27" t="s">
        <v>25</v>
      </c>
      <c r="L668" s="22"/>
      <c r="M668" s="21"/>
      <c r="N668" s="33" t="s">
        <v>2322</v>
      </c>
      <c r="O668" s="15" t="str">
        <f t="shared" si="1"/>
        <v>Unknown</v>
      </c>
      <c r="P668" s="16" t="str">
        <f t="shared" si="2"/>
        <v>USD</v>
      </c>
      <c r="Q668" s="15">
        <f>IFERROR(__xludf.DUMMYFUNCTION("IFNA(INDEX(GOOGLEFINANCE(""Currency:USD""&amp;$P668,""price"",DATE(YEAR($L668),MONTH($L668),DAY($L668))),2,2),LOOKUP(P668,CurrencyCodes,UnitsPerUSD))"),1.0)</f>
        <v>1</v>
      </c>
      <c r="R668" s="17">
        <f t="shared" si="3"/>
        <v>165000</v>
      </c>
    </row>
    <row r="669">
      <c r="A669" s="7">
        <v>44023.36859430556</v>
      </c>
      <c r="B669" s="8" t="s">
        <v>18</v>
      </c>
      <c r="C669" s="9">
        <v>1351.0</v>
      </c>
      <c r="D669" s="8" t="s">
        <v>2323</v>
      </c>
      <c r="E669" s="8" t="s">
        <v>2324</v>
      </c>
      <c r="F669" s="8" t="s">
        <v>2219</v>
      </c>
      <c r="G669" s="9">
        <v>12075.0</v>
      </c>
      <c r="H669" s="10" t="s">
        <v>1173</v>
      </c>
      <c r="I669" s="10" t="s">
        <v>39</v>
      </c>
      <c r="J669" s="11">
        <v>855000.0</v>
      </c>
      <c r="K669" s="10" t="s">
        <v>25</v>
      </c>
      <c r="L669" s="25">
        <v>42692.0</v>
      </c>
      <c r="M669" s="28" t="s">
        <v>2325</v>
      </c>
      <c r="N669" s="12" t="s">
        <v>2326</v>
      </c>
      <c r="O669" s="15">
        <f t="shared" si="1"/>
        <v>2016</v>
      </c>
      <c r="P669" s="16" t="str">
        <f t="shared" si="2"/>
        <v>USD</v>
      </c>
      <c r="Q669" s="15">
        <f>IFERROR(__xludf.DUMMYFUNCTION("IFNA(INDEX(GOOGLEFINANCE(""Currency:USD""&amp;$P669,""price"",DATE(YEAR($L669),MONTH($L669),DAY($L669))),2,2),LOOKUP(P669,CurrencyCodes,UnitsPerUSD))"),1.0)</f>
        <v>1</v>
      </c>
      <c r="R669" s="17">
        <f t="shared" si="3"/>
        <v>855000</v>
      </c>
    </row>
    <row r="670">
      <c r="A670" s="7">
        <v>44023.37460376158</v>
      </c>
      <c r="B670" s="8" t="s">
        <v>18</v>
      </c>
      <c r="C670" s="9">
        <v>532.0</v>
      </c>
      <c r="D670" s="8" t="s">
        <v>2327</v>
      </c>
      <c r="E670" s="8" t="s">
        <v>2328</v>
      </c>
      <c r="F670" s="8" t="s">
        <v>2219</v>
      </c>
      <c r="G670" s="9">
        <v>13642.0</v>
      </c>
      <c r="H670" s="10" t="s">
        <v>1173</v>
      </c>
      <c r="I670" s="10" t="s">
        <v>39</v>
      </c>
      <c r="J670" s="11">
        <v>135000.0</v>
      </c>
      <c r="K670" s="10" t="s">
        <v>25</v>
      </c>
      <c r="L670" s="25">
        <v>40744.0</v>
      </c>
      <c r="M670" s="28" t="s">
        <v>2329</v>
      </c>
      <c r="N670" s="10" t="s">
        <v>2330</v>
      </c>
      <c r="O670" s="15">
        <f t="shared" si="1"/>
        <v>2011</v>
      </c>
      <c r="P670" s="16" t="str">
        <f t="shared" si="2"/>
        <v>USD</v>
      </c>
      <c r="Q670" s="15">
        <f>IFERROR(__xludf.DUMMYFUNCTION("IFNA(INDEX(GOOGLEFINANCE(""Currency:USD""&amp;$P670,""price"",DATE(YEAR($L670),MONTH($L670),DAY($L670))),2,2),LOOKUP(P670,CurrencyCodes,UnitsPerUSD))"),1.0)</f>
        <v>1</v>
      </c>
      <c r="R670" s="17">
        <f t="shared" si="3"/>
        <v>135000</v>
      </c>
    </row>
    <row r="671">
      <c r="A671" s="7">
        <v>43905.89166945602</v>
      </c>
      <c r="B671" s="18" t="s">
        <v>18</v>
      </c>
      <c r="C671" s="19">
        <v>190.0</v>
      </c>
      <c r="D671" s="18" t="s">
        <v>1322</v>
      </c>
      <c r="E671" s="18" t="s">
        <v>2331</v>
      </c>
      <c r="F671" s="18" t="s">
        <v>2219</v>
      </c>
      <c r="G671" s="19">
        <v>14075.0</v>
      </c>
      <c r="H671" s="21" t="s">
        <v>1173</v>
      </c>
      <c r="I671" s="21" t="s">
        <v>39</v>
      </c>
      <c r="J671" s="11">
        <v>260000.0</v>
      </c>
      <c r="K671" s="21" t="s">
        <v>25</v>
      </c>
      <c r="L671" s="25">
        <v>43215.0</v>
      </c>
      <c r="M671" s="14" t="s">
        <v>2332</v>
      </c>
      <c r="N671" s="21"/>
      <c r="O671" s="15">
        <f t="shared" si="1"/>
        <v>2018</v>
      </c>
      <c r="P671" s="16" t="str">
        <f t="shared" si="2"/>
        <v>USD</v>
      </c>
      <c r="Q671" s="15">
        <f>IFERROR(__xludf.DUMMYFUNCTION("IFNA(INDEX(GOOGLEFINANCE(""Currency:USD""&amp;$P671,""price"",DATE(YEAR($L671),MONTH($L671),DAY($L671))),2,2),LOOKUP(P671,CurrencyCodes,UnitsPerUSD))"),1.0)</f>
        <v>1</v>
      </c>
      <c r="R671" s="17">
        <f t="shared" si="3"/>
        <v>260000</v>
      </c>
    </row>
    <row r="672">
      <c r="A672" s="7">
        <v>44024.20439315972</v>
      </c>
      <c r="B672" s="8" t="s">
        <v>18</v>
      </c>
      <c r="C672" s="9">
        <v>49.0</v>
      </c>
      <c r="D672" s="8" t="s">
        <v>2333</v>
      </c>
      <c r="E672" s="8" t="s">
        <v>2334</v>
      </c>
      <c r="F672" s="8" t="s">
        <v>2219</v>
      </c>
      <c r="G672" s="9">
        <v>10927.0</v>
      </c>
      <c r="H672" s="10" t="s">
        <v>1173</v>
      </c>
      <c r="I672" s="10" t="s">
        <v>39</v>
      </c>
      <c r="J672" s="11">
        <v>385000.0</v>
      </c>
      <c r="K672" s="10" t="s">
        <v>25</v>
      </c>
      <c r="L672" s="25">
        <v>43745.0</v>
      </c>
      <c r="M672" s="28" t="s">
        <v>2335</v>
      </c>
      <c r="N672" s="12" t="s">
        <v>2336</v>
      </c>
      <c r="O672" s="15">
        <f t="shared" si="1"/>
        <v>2019</v>
      </c>
      <c r="P672" s="16" t="str">
        <f t="shared" si="2"/>
        <v>USD</v>
      </c>
      <c r="Q672" s="15">
        <f>IFERROR(__xludf.DUMMYFUNCTION("IFNA(INDEX(GOOGLEFINANCE(""Currency:USD""&amp;$P672,""price"",DATE(YEAR($L672),MONTH($L672),DAY($L672))),2,2),LOOKUP(P672,CurrencyCodes,UnitsPerUSD))"),1.0)</f>
        <v>1</v>
      </c>
      <c r="R672" s="17">
        <f t="shared" si="3"/>
        <v>385000</v>
      </c>
    </row>
    <row r="673">
      <c r="A673" s="7">
        <v>44024.2176559375</v>
      </c>
      <c r="B673" s="8" t="s">
        <v>18</v>
      </c>
      <c r="C673" s="9">
        <v>140.0</v>
      </c>
      <c r="D673" s="8" t="s">
        <v>2337</v>
      </c>
      <c r="E673" s="8" t="s">
        <v>1265</v>
      </c>
      <c r="F673" s="8" t="s">
        <v>2219</v>
      </c>
      <c r="G673" s="9">
        <v>11741.0</v>
      </c>
      <c r="H673" s="10" t="s">
        <v>1173</v>
      </c>
      <c r="I673" s="10" t="s">
        <v>39</v>
      </c>
      <c r="J673" s="11">
        <v>393000.0</v>
      </c>
      <c r="K673" s="10" t="s">
        <v>25</v>
      </c>
      <c r="L673" s="25">
        <v>41275.0</v>
      </c>
      <c r="M673" s="28" t="s">
        <v>2338</v>
      </c>
      <c r="N673" s="12" t="s">
        <v>2339</v>
      </c>
      <c r="O673" s="15">
        <f t="shared" si="1"/>
        <v>2013</v>
      </c>
      <c r="P673" s="16" t="str">
        <f t="shared" si="2"/>
        <v>USD</v>
      </c>
      <c r="Q673" s="15">
        <f>IFERROR(__xludf.DUMMYFUNCTION("IFNA(INDEX(GOOGLEFINANCE(""Currency:USD""&amp;$P673,""price"",DATE(YEAR($L673),MONTH($L673),DAY($L673))),2,2),LOOKUP(P673,CurrencyCodes,UnitsPerUSD))"),1.0)</f>
        <v>1</v>
      </c>
      <c r="R673" s="17">
        <f t="shared" si="3"/>
        <v>393000</v>
      </c>
    </row>
    <row r="674">
      <c r="A674" s="7">
        <v>44024.22234115741</v>
      </c>
      <c r="B674" s="8" t="s">
        <v>18</v>
      </c>
      <c r="C674" s="9">
        <v>306.0</v>
      </c>
      <c r="D674" s="8" t="s">
        <v>2340</v>
      </c>
      <c r="E674" s="8" t="s">
        <v>2341</v>
      </c>
      <c r="F674" s="8" t="s">
        <v>2219</v>
      </c>
      <c r="G674" s="9">
        <v>11096.0</v>
      </c>
      <c r="H674" s="10" t="s">
        <v>1173</v>
      </c>
      <c r="I674" s="10" t="s">
        <v>39</v>
      </c>
      <c r="J674" s="11">
        <v>1300000.0</v>
      </c>
      <c r="K674" s="10" t="s">
        <v>25</v>
      </c>
      <c r="L674" s="25">
        <v>43537.0</v>
      </c>
      <c r="M674" s="28" t="s">
        <v>2342</v>
      </c>
      <c r="N674" s="12" t="s">
        <v>2343</v>
      </c>
      <c r="O674" s="15">
        <f t="shared" si="1"/>
        <v>2019</v>
      </c>
      <c r="P674" s="16" t="str">
        <f t="shared" si="2"/>
        <v>USD</v>
      </c>
      <c r="Q674" s="15">
        <f>IFERROR(__xludf.DUMMYFUNCTION("IFNA(INDEX(GOOGLEFINANCE(""Currency:USD""&amp;$P674,""price"",DATE(YEAR($L674),MONTH($L674),DAY($L674))),2,2),LOOKUP(P674,CurrencyCodes,UnitsPerUSD))"),1.0)</f>
        <v>1</v>
      </c>
      <c r="R674" s="17">
        <f t="shared" si="3"/>
        <v>1300000</v>
      </c>
    </row>
    <row r="675">
      <c r="A675" s="7">
        <v>44024.2316340625</v>
      </c>
      <c r="B675" s="8" t="s">
        <v>18</v>
      </c>
      <c r="C675" s="9">
        <v>1364.0</v>
      </c>
      <c r="D675" s="8" t="s">
        <v>2344</v>
      </c>
      <c r="E675" s="8" t="s">
        <v>2345</v>
      </c>
      <c r="F675" s="8" t="s">
        <v>2219</v>
      </c>
      <c r="G675" s="9">
        <v>13790.0</v>
      </c>
      <c r="H675" s="10" t="s">
        <v>1173</v>
      </c>
      <c r="I675" s="10" t="s">
        <v>39</v>
      </c>
      <c r="J675" s="11">
        <v>275000.0</v>
      </c>
      <c r="K675" s="10" t="s">
        <v>25</v>
      </c>
      <c r="L675" s="25">
        <v>42688.0</v>
      </c>
      <c r="M675" s="28" t="s">
        <v>2346</v>
      </c>
      <c r="N675" s="12" t="s">
        <v>2347</v>
      </c>
      <c r="O675" s="15">
        <f t="shared" si="1"/>
        <v>2016</v>
      </c>
      <c r="P675" s="16" t="str">
        <f t="shared" si="2"/>
        <v>USD</v>
      </c>
      <c r="Q675" s="15">
        <f>IFERROR(__xludf.DUMMYFUNCTION("IFNA(INDEX(GOOGLEFINANCE(""Currency:USD""&amp;$P675,""price"",DATE(YEAR($L675),MONTH($L675),DAY($L675))),2,2),LOOKUP(P675,CurrencyCodes,UnitsPerUSD))"),1.0)</f>
        <v>1</v>
      </c>
      <c r="R675" s="17">
        <f t="shared" si="3"/>
        <v>275000</v>
      </c>
    </row>
    <row r="676">
      <c r="A676" s="7">
        <v>44024.23434086806</v>
      </c>
      <c r="B676" s="8" t="s">
        <v>18</v>
      </c>
      <c r="C676" s="9">
        <v>2802.0</v>
      </c>
      <c r="D676" s="8" t="s">
        <v>2348</v>
      </c>
      <c r="E676" s="8" t="s">
        <v>2349</v>
      </c>
      <c r="F676" s="8" t="s">
        <v>2219</v>
      </c>
      <c r="G676" s="9">
        <v>12095.0</v>
      </c>
      <c r="H676" s="10" t="s">
        <v>1173</v>
      </c>
      <c r="I676" s="10" t="s">
        <v>39</v>
      </c>
      <c r="J676" s="11">
        <v>83000.0</v>
      </c>
      <c r="K676" s="10" t="s">
        <v>25</v>
      </c>
      <c r="L676" s="25">
        <v>43448.0</v>
      </c>
      <c r="M676" s="28" t="s">
        <v>2350</v>
      </c>
      <c r="N676" s="12" t="s">
        <v>2351</v>
      </c>
      <c r="O676" s="15">
        <f t="shared" si="1"/>
        <v>2018</v>
      </c>
      <c r="P676" s="16" t="str">
        <f t="shared" si="2"/>
        <v>USD</v>
      </c>
      <c r="Q676" s="15">
        <f>IFERROR(__xludf.DUMMYFUNCTION("IFNA(INDEX(GOOGLEFINANCE(""Currency:USD""&amp;$P676,""price"",DATE(YEAR($L676),MONTH($L676),DAY($L676))),2,2),LOOKUP(P676,CurrencyCodes,UnitsPerUSD))"),1.0)</f>
        <v>1</v>
      </c>
      <c r="R676" s="17">
        <f t="shared" si="3"/>
        <v>83000</v>
      </c>
    </row>
    <row r="677">
      <c r="A677" s="7">
        <v>44024.24062165509</v>
      </c>
      <c r="B677" s="8" t="s">
        <v>18</v>
      </c>
      <c r="C677" s="9">
        <v>5808.0</v>
      </c>
      <c r="D677" s="8" t="s">
        <v>2352</v>
      </c>
      <c r="E677" s="8" t="s">
        <v>2353</v>
      </c>
      <c r="F677" s="8" t="s">
        <v>2219</v>
      </c>
      <c r="G677" s="9">
        <v>13084.0</v>
      </c>
      <c r="H677" s="10" t="s">
        <v>1173</v>
      </c>
      <c r="I677" s="10" t="s">
        <v>39</v>
      </c>
      <c r="J677" s="11">
        <v>284000.0</v>
      </c>
      <c r="K677" s="10" t="s">
        <v>25</v>
      </c>
      <c r="L677" s="25">
        <v>39735.0</v>
      </c>
      <c r="M677" s="14" t="s">
        <v>2354</v>
      </c>
      <c r="N677" s="10"/>
      <c r="O677" s="15">
        <f t="shared" si="1"/>
        <v>2008</v>
      </c>
      <c r="P677" s="16" t="str">
        <f t="shared" si="2"/>
        <v>USD</v>
      </c>
      <c r="Q677" s="15">
        <f>IFERROR(__xludf.DUMMYFUNCTION("IFNA(INDEX(GOOGLEFINANCE(""Currency:USD""&amp;$P677,""price"",DATE(YEAR($L677),MONTH($L677),DAY($L677))),2,2),LOOKUP(P677,CurrencyCodes,UnitsPerUSD))"),1.0)</f>
        <v>1</v>
      </c>
      <c r="R677" s="17">
        <f t="shared" si="3"/>
        <v>284000</v>
      </c>
    </row>
    <row r="678">
      <c r="A678" s="7">
        <v>44024.24569460648</v>
      </c>
      <c r="B678" s="8" t="s">
        <v>18</v>
      </c>
      <c r="C678" s="9">
        <v>10.0</v>
      </c>
      <c r="D678" s="8" t="s">
        <v>2355</v>
      </c>
      <c r="E678" s="8" t="s">
        <v>2356</v>
      </c>
      <c r="F678" s="8" t="s">
        <v>2219</v>
      </c>
      <c r="G678" s="9">
        <v>14218.0</v>
      </c>
      <c r="H678" s="10" t="s">
        <v>1173</v>
      </c>
      <c r="I678" s="10" t="s">
        <v>39</v>
      </c>
      <c r="J678" s="11">
        <v>104900.0</v>
      </c>
      <c r="K678" s="10" t="s">
        <v>25</v>
      </c>
      <c r="L678" s="25">
        <v>40018.0</v>
      </c>
      <c r="M678" s="28" t="s">
        <v>2357</v>
      </c>
      <c r="N678" s="12" t="s">
        <v>2358</v>
      </c>
      <c r="O678" s="15">
        <f t="shared" si="1"/>
        <v>2009</v>
      </c>
      <c r="P678" s="16" t="str">
        <f t="shared" si="2"/>
        <v>USD</v>
      </c>
      <c r="Q678" s="15">
        <f>IFERROR(__xludf.DUMMYFUNCTION("IFNA(INDEX(GOOGLEFINANCE(""Currency:USD""&amp;$P678,""price"",DATE(YEAR($L678),MONTH($L678),DAY($L678))),2,2),LOOKUP(P678,CurrencyCodes,UnitsPerUSD))"),1.0)</f>
        <v>1</v>
      </c>
      <c r="R678" s="17">
        <f t="shared" si="3"/>
        <v>104900</v>
      </c>
    </row>
    <row r="679">
      <c r="A679" s="7">
        <v>44024.269345740744</v>
      </c>
      <c r="B679" s="8" t="s">
        <v>18</v>
      </c>
      <c r="C679" s="9">
        <v>450.0</v>
      </c>
      <c r="D679" s="8" t="s">
        <v>2359</v>
      </c>
      <c r="E679" s="8" t="s">
        <v>2360</v>
      </c>
      <c r="F679" s="8" t="s">
        <v>2219</v>
      </c>
      <c r="G679" s="9">
        <v>11757.0</v>
      </c>
      <c r="H679" s="10" t="s">
        <v>1173</v>
      </c>
      <c r="I679" s="10" t="s">
        <v>39</v>
      </c>
      <c r="J679" s="11">
        <v>700000.0</v>
      </c>
      <c r="K679" s="10" t="s">
        <v>25</v>
      </c>
      <c r="L679" s="25">
        <v>43627.0</v>
      </c>
      <c r="M679" s="28" t="s">
        <v>2361</v>
      </c>
      <c r="N679" s="12" t="s">
        <v>2362</v>
      </c>
      <c r="O679" s="15">
        <f t="shared" si="1"/>
        <v>2019</v>
      </c>
      <c r="P679" s="16" t="str">
        <f t="shared" si="2"/>
        <v>USD</v>
      </c>
      <c r="Q679" s="15">
        <f>IFERROR(__xludf.DUMMYFUNCTION("IFNA(INDEX(GOOGLEFINANCE(""Currency:USD""&amp;$P679,""price"",DATE(YEAR($L679),MONTH($L679),DAY($L679))),2,2),LOOKUP(P679,CurrencyCodes,UnitsPerUSD))"),1.0)</f>
        <v>1</v>
      </c>
      <c r="R679" s="17">
        <f t="shared" si="3"/>
        <v>700000</v>
      </c>
    </row>
    <row r="680">
      <c r="A680" s="7">
        <v>44024.2755587963</v>
      </c>
      <c r="B680" s="8" t="s">
        <v>18</v>
      </c>
      <c r="C680" s="9">
        <v>3746.0</v>
      </c>
      <c r="D680" s="8" t="s">
        <v>2363</v>
      </c>
      <c r="E680" s="8" t="s">
        <v>2364</v>
      </c>
      <c r="F680" s="8" t="s">
        <v>2219</v>
      </c>
      <c r="G680" s="9">
        <v>11101.0</v>
      </c>
      <c r="H680" s="10" t="s">
        <v>1173</v>
      </c>
      <c r="I680" s="10" t="s">
        <v>39</v>
      </c>
      <c r="J680" s="11">
        <v>812500.0</v>
      </c>
      <c r="K680" s="10" t="s">
        <v>25</v>
      </c>
      <c r="L680" s="25">
        <v>40868.0</v>
      </c>
      <c r="M680" s="28" t="s">
        <v>2365</v>
      </c>
      <c r="N680" s="12" t="s">
        <v>2366</v>
      </c>
      <c r="O680" s="15">
        <f t="shared" si="1"/>
        <v>2011</v>
      </c>
      <c r="P680" s="16" t="str">
        <f t="shared" si="2"/>
        <v>USD</v>
      </c>
      <c r="Q680" s="15">
        <f>IFERROR(__xludf.DUMMYFUNCTION("IFNA(INDEX(GOOGLEFINANCE(""Currency:USD""&amp;$P680,""price"",DATE(YEAR($L680),MONTH($L680),DAY($L680))),2,2),LOOKUP(P680,CurrencyCodes,UnitsPerUSD))"),1.0)</f>
        <v>1</v>
      </c>
      <c r="R680" s="17">
        <f t="shared" si="3"/>
        <v>812500</v>
      </c>
    </row>
    <row r="681">
      <c r="A681" s="7">
        <v>44024.29216971065</v>
      </c>
      <c r="B681" s="8" t="s">
        <v>18</v>
      </c>
      <c r="C681" s="9">
        <v>9047.0</v>
      </c>
      <c r="D681" s="8" t="s">
        <v>2367</v>
      </c>
      <c r="E681" s="8" t="s">
        <v>2368</v>
      </c>
      <c r="F681" s="8" t="s">
        <v>2219</v>
      </c>
      <c r="G681" s="9">
        <v>14101.0</v>
      </c>
      <c r="H681" s="10" t="s">
        <v>1173</v>
      </c>
      <c r="I681" s="10" t="s">
        <v>39</v>
      </c>
      <c r="J681" s="11">
        <v>202000.0</v>
      </c>
      <c r="K681" s="10" t="s">
        <v>25</v>
      </c>
      <c r="L681" s="25">
        <v>42723.0</v>
      </c>
      <c r="M681" s="28" t="s">
        <v>2369</v>
      </c>
      <c r="N681" s="12" t="s">
        <v>2370</v>
      </c>
      <c r="O681" s="15">
        <f t="shared" si="1"/>
        <v>2016</v>
      </c>
      <c r="P681" s="16" t="str">
        <f t="shared" si="2"/>
        <v>USD</v>
      </c>
      <c r="Q681" s="15">
        <f>IFERROR(__xludf.DUMMYFUNCTION("IFNA(INDEX(GOOGLEFINANCE(""Currency:USD""&amp;$P681,""price"",DATE(YEAR($L681),MONTH($L681),DAY($L681))),2,2),LOOKUP(P681,CurrencyCodes,UnitsPerUSD))"),1.0)</f>
        <v>1</v>
      </c>
      <c r="R681" s="17">
        <f t="shared" si="3"/>
        <v>202000</v>
      </c>
    </row>
    <row r="682">
      <c r="A682" s="7">
        <v>44024.29572854166</v>
      </c>
      <c r="B682" s="8" t="s">
        <v>18</v>
      </c>
      <c r="C682" s="9">
        <v>24.0</v>
      </c>
      <c r="D682" s="8" t="s">
        <v>2371</v>
      </c>
      <c r="E682" s="8" t="s">
        <v>2372</v>
      </c>
      <c r="F682" s="8" t="s">
        <v>2219</v>
      </c>
      <c r="G682" s="9">
        <v>11030.0</v>
      </c>
      <c r="H682" s="10" t="s">
        <v>1173</v>
      </c>
      <c r="I682" s="10" t="s">
        <v>39</v>
      </c>
      <c r="J682" s="11">
        <v>808000.0</v>
      </c>
      <c r="K682" s="10" t="s">
        <v>25</v>
      </c>
      <c r="L682" s="25">
        <v>42828.0</v>
      </c>
      <c r="M682" s="28" t="s">
        <v>2373</v>
      </c>
      <c r="N682" s="12" t="s">
        <v>2374</v>
      </c>
      <c r="O682" s="15">
        <f t="shared" si="1"/>
        <v>2017</v>
      </c>
      <c r="P682" s="16" t="str">
        <f t="shared" si="2"/>
        <v>USD</v>
      </c>
      <c r="Q682" s="15">
        <f>IFERROR(__xludf.DUMMYFUNCTION("IFNA(INDEX(GOOGLEFINANCE(""Currency:USD""&amp;$P682,""price"",DATE(YEAR($L682),MONTH($L682),DAY($L682))),2,2),LOOKUP(P682,CurrencyCodes,UnitsPerUSD))"),1.0)</f>
        <v>1</v>
      </c>
      <c r="R682" s="17">
        <f t="shared" si="3"/>
        <v>808000</v>
      </c>
    </row>
    <row r="683">
      <c r="A683" s="7">
        <v>44024.29981755787</v>
      </c>
      <c r="B683" s="8" t="s">
        <v>18</v>
      </c>
      <c r="C683" s="9">
        <v>843.0</v>
      </c>
      <c r="D683" s="8" t="s">
        <v>2375</v>
      </c>
      <c r="E683" s="8" t="s">
        <v>2376</v>
      </c>
      <c r="F683" s="8" t="s">
        <v>2219</v>
      </c>
      <c r="G683" s="9">
        <v>11758.0</v>
      </c>
      <c r="H683" s="10" t="s">
        <v>1173</v>
      </c>
      <c r="I683" s="10" t="s">
        <v>39</v>
      </c>
      <c r="J683" s="11">
        <v>575000.0</v>
      </c>
      <c r="K683" s="10" t="s">
        <v>25</v>
      </c>
      <c r="L683" s="25">
        <v>39988.0</v>
      </c>
      <c r="M683" s="14" t="s">
        <v>2377</v>
      </c>
      <c r="N683" s="10"/>
      <c r="O683" s="15">
        <f t="shared" si="1"/>
        <v>2009</v>
      </c>
      <c r="P683" s="16" t="str">
        <f t="shared" si="2"/>
        <v>USD</v>
      </c>
      <c r="Q683" s="15">
        <f>IFERROR(__xludf.DUMMYFUNCTION("IFNA(INDEX(GOOGLEFINANCE(""Currency:USD""&amp;$P683,""price"",DATE(YEAR($L683),MONTH($L683),DAY($L683))),2,2),LOOKUP(P683,CurrencyCodes,UnitsPerUSD))"),1.0)</f>
        <v>1</v>
      </c>
      <c r="R683" s="17">
        <f t="shared" si="3"/>
        <v>575000</v>
      </c>
    </row>
    <row r="684">
      <c r="A684" s="7">
        <v>43934.95607672454</v>
      </c>
      <c r="B684" s="18" t="s">
        <v>18</v>
      </c>
      <c r="C684" s="19">
        <v>8751.0</v>
      </c>
      <c r="D684" s="18" t="s">
        <v>2378</v>
      </c>
      <c r="E684" s="18" t="s">
        <v>2379</v>
      </c>
      <c r="F684" s="18" t="s">
        <v>2219</v>
      </c>
      <c r="G684" s="9">
        <v>14512.0</v>
      </c>
      <c r="H684" s="21" t="s">
        <v>1173</v>
      </c>
      <c r="I684" s="21" t="s">
        <v>24</v>
      </c>
      <c r="J684" s="11">
        <v>249900.0</v>
      </c>
      <c r="K684" s="21" t="s">
        <v>25</v>
      </c>
      <c r="L684" s="25">
        <v>43904.0</v>
      </c>
      <c r="M684" s="31" t="s">
        <v>2380</v>
      </c>
      <c r="N684" s="21"/>
      <c r="O684" s="15">
        <f t="shared" si="1"/>
        <v>2020</v>
      </c>
      <c r="P684" s="16" t="str">
        <f t="shared" si="2"/>
        <v>USD</v>
      </c>
      <c r="Q684" s="15">
        <f>IFERROR(__xludf.DUMMYFUNCTION("IFNA(INDEX(GOOGLEFINANCE(""Currency:USD""&amp;$P684,""price"",DATE(YEAR($L684),MONTH($L684),DAY($L684))),2,2),LOOKUP(P684,CurrencyCodes,UnitsPerUSD))"),1.0)</f>
        <v>1</v>
      </c>
      <c r="R684" s="17">
        <f t="shared" si="3"/>
        <v>249900</v>
      </c>
    </row>
    <row r="685">
      <c r="A685" s="7">
        <v>43914.83057827546</v>
      </c>
      <c r="B685" s="18" t="s">
        <v>18</v>
      </c>
      <c r="C685" s="19">
        <v>6456.0</v>
      </c>
      <c r="D685" s="18" t="s">
        <v>2381</v>
      </c>
      <c r="E685" s="18" t="s">
        <v>2382</v>
      </c>
      <c r="F685" s="18" t="s">
        <v>2219</v>
      </c>
      <c r="G685" s="19">
        <v>14108.0</v>
      </c>
      <c r="H685" s="21" t="s">
        <v>1173</v>
      </c>
      <c r="I685" s="21" t="s">
        <v>24</v>
      </c>
      <c r="J685" s="11">
        <v>114900.0</v>
      </c>
      <c r="K685" s="21" t="s">
        <v>25</v>
      </c>
      <c r="L685" s="25">
        <v>43416.0</v>
      </c>
      <c r="M685" s="31" t="s">
        <v>2383</v>
      </c>
      <c r="N685" s="21"/>
      <c r="O685" s="15">
        <f t="shared" si="1"/>
        <v>2018</v>
      </c>
      <c r="P685" s="16" t="str">
        <f t="shared" si="2"/>
        <v>USD</v>
      </c>
      <c r="Q685" s="15">
        <f>IFERROR(__xludf.DUMMYFUNCTION("IFNA(INDEX(GOOGLEFINANCE(""Currency:USD""&amp;$P685,""price"",DATE(YEAR($L685),MONTH($L685),DAY($L685))),2,2),LOOKUP(P685,CurrencyCodes,UnitsPerUSD))"),1.0)</f>
        <v>1</v>
      </c>
      <c r="R685" s="17">
        <f t="shared" si="3"/>
        <v>114900</v>
      </c>
    </row>
    <row r="686">
      <c r="A686" s="7">
        <v>44024.31076961805</v>
      </c>
      <c r="B686" s="8" t="s">
        <v>18</v>
      </c>
      <c r="C686" s="9">
        <v>359.0</v>
      </c>
      <c r="D686" s="8" t="s">
        <v>2384</v>
      </c>
      <c r="E686" s="8" t="s">
        <v>232</v>
      </c>
      <c r="F686" s="8" t="s">
        <v>2219</v>
      </c>
      <c r="G686" s="9">
        <v>14303.0</v>
      </c>
      <c r="H686" s="10" t="s">
        <v>1173</v>
      </c>
      <c r="I686" s="10" t="s">
        <v>39</v>
      </c>
      <c r="J686" s="11">
        <v>70000.0</v>
      </c>
      <c r="K686" s="10" t="s">
        <v>25</v>
      </c>
      <c r="L686" s="25">
        <v>40094.0</v>
      </c>
      <c r="M686" s="28" t="s">
        <v>2385</v>
      </c>
      <c r="N686" s="12" t="s">
        <v>2386</v>
      </c>
      <c r="O686" s="15">
        <f t="shared" si="1"/>
        <v>2009</v>
      </c>
      <c r="P686" s="16" t="str">
        <f t="shared" si="2"/>
        <v>USD</v>
      </c>
      <c r="Q686" s="15">
        <f>IFERROR(__xludf.DUMMYFUNCTION("IFNA(INDEX(GOOGLEFINANCE(""Currency:USD""&amp;$P686,""price"",DATE(YEAR($L686),MONTH($L686),DAY($L686))),2,2),LOOKUP(P686,CurrencyCodes,UnitsPerUSD))"),1.0)</f>
        <v>1</v>
      </c>
      <c r="R686" s="17">
        <f t="shared" si="3"/>
        <v>70000</v>
      </c>
    </row>
    <row r="687">
      <c r="A687" s="7">
        <v>44024.31467571759</v>
      </c>
      <c r="B687" s="8" t="s">
        <v>18</v>
      </c>
      <c r="C687" s="9">
        <v>5442.0</v>
      </c>
      <c r="D687" s="8" t="s">
        <v>2387</v>
      </c>
      <c r="E687" s="8" t="s">
        <v>2388</v>
      </c>
      <c r="F687" s="8" t="s">
        <v>2219</v>
      </c>
      <c r="G687" s="9">
        <v>13669.0</v>
      </c>
      <c r="H687" s="10" t="s">
        <v>1173</v>
      </c>
      <c r="I687" s="10" t="s">
        <v>39</v>
      </c>
      <c r="J687" s="11">
        <v>85000.0</v>
      </c>
      <c r="K687" s="10" t="s">
        <v>25</v>
      </c>
      <c r="L687" s="25">
        <v>43021.0</v>
      </c>
      <c r="M687" s="14" t="s">
        <v>2389</v>
      </c>
      <c r="N687" s="10"/>
      <c r="O687" s="15">
        <f t="shared" si="1"/>
        <v>2017</v>
      </c>
      <c r="P687" s="16" t="str">
        <f t="shared" si="2"/>
        <v>USD</v>
      </c>
      <c r="Q687" s="15">
        <f>IFERROR(__xludf.DUMMYFUNCTION("IFNA(INDEX(GOOGLEFINANCE(""Currency:USD""&amp;$P687,""price"",DATE(YEAR($L687),MONTH($L687),DAY($L687))),2,2),LOOKUP(P687,CurrencyCodes,UnitsPerUSD))"),1.0)</f>
        <v>1</v>
      </c>
      <c r="R687" s="17">
        <f t="shared" si="3"/>
        <v>85000</v>
      </c>
    </row>
    <row r="688">
      <c r="A688" s="7">
        <v>44027.009992824074</v>
      </c>
      <c r="B688" s="8" t="s">
        <v>18</v>
      </c>
      <c r="C688" s="9">
        <v>2275.0</v>
      </c>
      <c r="D688" s="8" t="s">
        <v>2390</v>
      </c>
      <c r="E688" s="8" t="s">
        <v>2391</v>
      </c>
      <c r="F688" s="8" t="s">
        <v>2219</v>
      </c>
      <c r="G688" s="9">
        <v>14760.0</v>
      </c>
      <c r="H688" s="10" t="s">
        <v>1173</v>
      </c>
      <c r="I688" s="10" t="s">
        <v>39</v>
      </c>
      <c r="J688" s="11">
        <v>169900.0</v>
      </c>
      <c r="K688" s="10" t="s">
        <v>25</v>
      </c>
      <c r="L688" s="25">
        <v>41543.0</v>
      </c>
      <c r="M688" s="28" t="s">
        <v>2392</v>
      </c>
      <c r="N688" s="12" t="s">
        <v>2393</v>
      </c>
      <c r="O688" s="15">
        <f t="shared" si="1"/>
        <v>2013</v>
      </c>
      <c r="P688" s="16" t="str">
        <f t="shared" si="2"/>
        <v>USD</v>
      </c>
      <c r="Q688" s="15">
        <f>IFERROR(__xludf.DUMMYFUNCTION("IFNA(INDEX(GOOGLEFINANCE(""Currency:USD""&amp;$P688,""price"",DATE(YEAR($L688),MONTH($L688),DAY($L688))),2,2),LOOKUP(P688,CurrencyCodes,UnitsPerUSD))"),1.0)</f>
        <v>1</v>
      </c>
      <c r="R688" s="17">
        <f t="shared" si="3"/>
        <v>169900</v>
      </c>
    </row>
    <row r="689">
      <c r="A689" s="7">
        <v>44027.328932986115</v>
      </c>
      <c r="B689" s="8" t="s">
        <v>18</v>
      </c>
      <c r="C689" s="9">
        <v>2610.0</v>
      </c>
      <c r="D689" s="8" t="s">
        <v>2394</v>
      </c>
      <c r="E689" s="8" t="s">
        <v>1235</v>
      </c>
      <c r="F689" s="8" t="s">
        <v>2219</v>
      </c>
      <c r="G689" s="9">
        <v>13456.0</v>
      </c>
      <c r="H689" s="10" t="s">
        <v>1173</v>
      </c>
      <c r="I689" s="10" t="s">
        <v>39</v>
      </c>
      <c r="J689" s="11">
        <v>200000.0</v>
      </c>
      <c r="K689" s="10" t="s">
        <v>25</v>
      </c>
      <c r="L689" s="25">
        <v>43472.0</v>
      </c>
      <c r="M689" s="14" t="s">
        <v>2395</v>
      </c>
      <c r="N689" s="10"/>
      <c r="O689" s="15">
        <f t="shared" si="1"/>
        <v>2019</v>
      </c>
      <c r="P689" s="16" t="str">
        <f t="shared" si="2"/>
        <v>USD</v>
      </c>
      <c r="Q689" s="15">
        <f>IFERROR(__xludf.DUMMYFUNCTION("IFNA(INDEX(GOOGLEFINANCE(""Currency:USD""&amp;$P689,""price"",DATE(YEAR($L689),MONTH($L689),DAY($L689))),2,2),LOOKUP(P689,CurrencyCodes,UnitsPerUSD))"),1.0)</f>
        <v>1</v>
      </c>
      <c r="R689" s="17">
        <f t="shared" si="3"/>
        <v>200000</v>
      </c>
    </row>
    <row r="690">
      <c r="A690" s="7">
        <v>44027.263531770834</v>
      </c>
      <c r="B690" s="8" t="s">
        <v>18</v>
      </c>
      <c r="C690" s="9">
        <v>2913.0</v>
      </c>
      <c r="D690" s="8" t="s">
        <v>2396</v>
      </c>
      <c r="E690" s="8" t="s">
        <v>2397</v>
      </c>
      <c r="F690" s="8" t="s">
        <v>2219</v>
      </c>
      <c r="G690" s="9">
        <v>14622.0</v>
      </c>
      <c r="H690" s="10" t="s">
        <v>1173</v>
      </c>
      <c r="I690" s="10" t="s">
        <v>39</v>
      </c>
      <c r="J690" s="11">
        <v>290000.0</v>
      </c>
      <c r="K690" s="10" t="s">
        <v>25</v>
      </c>
      <c r="L690" s="25">
        <v>39029.0</v>
      </c>
      <c r="M690" s="28" t="s">
        <v>2398</v>
      </c>
      <c r="N690" s="10" t="s">
        <v>2399</v>
      </c>
      <c r="O690" s="15">
        <f t="shared" si="1"/>
        <v>2006</v>
      </c>
      <c r="P690" s="16" t="str">
        <f t="shared" si="2"/>
        <v>USD</v>
      </c>
      <c r="Q690" s="15">
        <f>IFERROR(__xludf.DUMMYFUNCTION("IFNA(INDEX(GOOGLEFINANCE(""Currency:USD""&amp;$P690,""price"",DATE(YEAR($L690),MONTH($L690),DAY($L690))),2,2),LOOKUP(P690,CurrencyCodes,UnitsPerUSD))"),1.0)</f>
        <v>1</v>
      </c>
      <c r="R690" s="17">
        <f t="shared" si="3"/>
        <v>290000</v>
      </c>
    </row>
    <row r="691">
      <c r="A691" s="7">
        <v>43918.55830913194</v>
      </c>
      <c r="B691" s="18" t="s">
        <v>18</v>
      </c>
      <c r="C691" s="19">
        <v>1784.0</v>
      </c>
      <c r="D691" s="18" t="s">
        <v>2400</v>
      </c>
      <c r="E691" s="18" t="s">
        <v>2401</v>
      </c>
      <c r="F691" s="18" t="s">
        <v>2219</v>
      </c>
      <c r="G691" s="9">
        <v>15446.0</v>
      </c>
      <c r="H691" s="21" t="s">
        <v>1173</v>
      </c>
      <c r="I691" s="21" t="s">
        <v>39</v>
      </c>
      <c r="J691" s="11">
        <v>179000.0</v>
      </c>
      <c r="K691" s="21" t="s">
        <v>25</v>
      </c>
      <c r="L691" s="25">
        <v>43070.0</v>
      </c>
      <c r="M691" s="28" t="s">
        <v>2402</v>
      </c>
      <c r="N691" s="10" t="s">
        <v>2403</v>
      </c>
      <c r="O691" s="15">
        <f t="shared" si="1"/>
        <v>2017</v>
      </c>
      <c r="P691" s="16" t="str">
        <f t="shared" si="2"/>
        <v>USD</v>
      </c>
      <c r="Q691" s="15">
        <f>IFERROR(__xludf.DUMMYFUNCTION("IFNA(INDEX(GOOGLEFINANCE(""Currency:USD""&amp;$P691,""price"",DATE(YEAR($L691),MONTH($L691),DAY($L691))),2,2),LOOKUP(P691,CurrencyCodes,UnitsPerUSD))"),1.0)</f>
        <v>1</v>
      </c>
      <c r="R691" s="17">
        <f t="shared" si="3"/>
        <v>179000</v>
      </c>
    </row>
    <row r="692">
      <c r="A692" s="7">
        <v>44027.284980729164</v>
      </c>
      <c r="B692" s="8" t="s">
        <v>18</v>
      </c>
      <c r="C692" s="9">
        <v>135.0</v>
      </c>
      <c r="D692" s="8" t="s">
        <v>2404</v>
      </c>
      <c r="E692" s="8" t="s">
        <v>2405</v>
      </c>
      <c r="F692" s="8" t="s">
        <v>2219</v>
      </c>
      <c r="G692" s="9">
        <v>13206.0</v>
      </c>
      <c r="H692" s="10" t="s">
        <v>1173</v>
      </c>
      <c r="I692" s="10" t="s">
        <v>39</v>
      </c>
      <c r="J692" s="11">
        <v>156000.0</v>
      </c>
      <c r="K692" s="10" t="s">
        <v>25</v>
      </c>
      <c r="L692" s="25">
        <v>38978.0</v>
      </c>
      <c r="M692" s="28" t="s">
        <v>2406</v>
      </c>
      <c r="N692" s="10" t="s">
        <v>2407</v>
      </c>
      <c r="O692" s="15">
        <f t="shared" si="1"/>
        <v>2006</v>
      </c>
      <c r="P692" s="16" t="str">
        <f t="shared" si="2"/>
        <v>USD</v>
      </c>
      <c r="Q692" s="15">
        <f>IFERROR(__xludf.DUMMYFUNCTION("IFNA(INDEX(GOOGLEFINANCE(""Currency:USD""&amp;$P692,""price"",DATE(YEAR($L692),MONTH($L692),DAY($L692))),2,2),LOOKUP(P692,CurrencyCodes,UnitsPerUSD))"),1.0)</f>
        <v>1</v>
      </c>
      <c r="R692" s="17">
        <f t="shared" si="3"/>
        <v>156000</v>
      </c>
    </row>
    <row r="693">
      <c r="A693" s="7">
        <v>43919.621531400466</v>
      </c>
      <c r="B693" s="18" t="s">
        <v>18</v>
      </c>
      <c r="C693" s="19"/>
      <c r="D693" s="18"/>
      <c r="E693" s="18" t="s">
        <v>2405</v>
      </c>
      <c r="F693" s="18" t="s">
        <v>2219</v>
      </c>
      <c r="G693" s="19"/>
      <c r="H693" s="21" t="s">
        <v>1173</v>
      </c>
      <c r="I693" s="21" t="s">
        <v>24</v>
      </c>
      <c r="J693" s="11">
        <v>0.0</v>
      </c>
      <c r="K693" s="27" t="s">
        <v>25</v>
      </c>
      <c r="L693" s="22"/>
      <c r="M693" s="21"/>
      <c r="N693" s="12" t="s">
        <v>2408</v>
      </c>
      <c r="O693" s="15" t="str">
        <f t="shared" si="1"/>
        <v>Unknown</v>
      </c>
      <c r="P693" s="16" t="str">
        <f t="shared" si="2"/>
        <v>USD</v>
      </c>
      <c r="Q693" s="15">
        <f>IFERROR(__xludf.DUMMYFUNCTION("IFNA(INDEX(GOOGLEFINANCE(""Currency:USD""&amp;$P693,""price"",DATE(YEAR($L693),MONTH($L693),DAY($L693))),2,2),LOOKUP(P693,CurrencyCodes,UnitsPerUSD))"),1.0)</f>
        <v>1</v>
      </c>
      <c r="R693" s="17">
        <f t="shared" si="3"/>
        <v>0</v>
      </c>
    </row>
    <row r="694">
      <c r="A694" s="7">
        <v>44027.2935612963</v>
      </c>
      <c r="B694" s="8" t="s">
        <v>18</v>
      </c>
      <c r="C694" s="9">
        <v>1631.0</v>
      </c>
      <c r="D694" s="8" t="s">
        <v>2409</v>
      </c>
      <c r="E694" s="8" t="s">
        <v>2410</v>
      </c>
      <c r="F694" s="8" t="s">
        <v>2219</v>
      </c>
      <c r="G694" s="9">
        <v>13501.0</v>
      </c>
      <c r="H694" s="10" t="s">
        <v>1173</v>
      </c>
      <c r="I694" s="10" t="s">
        <v>39</v>
      </c>
      <c r="J694" s="11">
        <v>0.0</v>
      </c>
      <c r="K694" s="12" t="s">
        <v>25</v>
      </c>
      <c r="L694" s="13"/>
      <c r="M694" s="28" t="s">
        <v>2411</v>
      </c>
      <c r="N694" s="12" t="s">
        <v>2412</v>
      </c>
      <c r="O694" s="15" t="str">
        <f t="shared" si="1"/>
        <v>Unknown</v>
      </c>
      <c r="P694" s="16" t="str">
        <f t="shared" si="2"/>
        <v>USD</v>
      </c>
      <c r="Q694" s="15">
        <f>IFERROR(__xludf.DUMMYFUNCTION("IFNA(INDEX(GOOGLEFINANCE(""Currency:USD""&amp;$P694,""price"",DATE(YEAR($L694),MONTH($L694),DAY($L694))),2,2),LOOKUP(P694,CurrencyCodes,UnitsPerUSD))"),1.0)</f>
        <v>1</v>
      </c>
      <c r="R694" s="17">
        <f t="shared" si="3"/>
        <v>0</v>
      </c>
    </row>
    <row r="695">
      <c r="A695" s="7">
        <v>43918.54774203704</v>
      </c>
      <c r="B695" s="18" t="s">
        <v>18</v>
      </c>
      <c r="C695" s="19">
        <v>7758.0</v>
      </c>
      <c r="D695" s="18" t="s">
        <v>2413</v>
      </c>
      <c r="E695" s="18" t="s">
        <v>2414</v>
      </c>
      <c r="F695" s="18" t="s">
        <v>2219</v>
      </c>
      <c r="G695" s="19">
        <v>13027.0</v>
      </c>
      <c r="H695" s="21" t="s">
        <v>1173</v>
      </c>
      <c r="I695" s="21" t="s">
        <v>39</v>
      </c>
      <c r="J695" s="11">
        <v>529900.0</v>
      </c>
      <c r="K695" s="21" t="s">
        <v>25</v>
      </c>
      <c r="L695" s="25">
        <v>43914.0</v>
      </c>
      <c r="M695" s="24" t="s">
        <v>2415</v>
      </c>
      <c r="N695" s="27" t="s">
        <v>2416</v>
      </c>
      <c r="O695" s="15">
        <f t="shared" si="1"/>
        <v>2020</v>
      </c>
      <c r="P695" s="16" t="str">
        <f t="shared" si="2"/>
        <v>USD</v>
      </c>
      <c r="Q695" s="15">
        <f>IFERROR(__xludf.DUMMYFUNCTION("IFNA(INDEX(GOOGLEFINANCE(""Currency:USD""&amp;$P695,""price"",DATE(YEAR($L695),MONTH($L695),DAY($L695))),2,2),LOOKUP(P695,CurrencyCodes,UnitsPerUSD))"),1.0)</f>
        <v>1</v>
      </c>
      <c r="R695" s="17">
        <f t="shared" si="3"/>
        <v>529900</v>
      </c>
    </row>
    <row r="696">
      <c r="A696" s="7">
        <v>44027.29742912037</v>
      </c>
      <c r="B696" s="8" t="s">
        <v>18</v>
      </c>
      <c r="C696" s="9">
        <v>24650.0</v>
      </c>
      <c r="D696" s="8" t="s">
        <v>2417</v>
      </c>
      <c r="E696" s="8" t="s">
        <v>2418</v>
      </c>
      <c r="F696" s="8" t="s">
        <v>2219</v>
      </c>
      <c r="G696" s="9">
        <v>13601.0</v>
      </c>
      <c r="H696" s="10" t="s">
        <v>1173</v>
      </c>
      <c r="I696" s="10" t="s">
        <v>24</v>
      </c>
      <c r="J696" s="11">
        <v>249900.0</v>
      </c>
      <c r="K696" s="10" t="s">
        <v>25</v>
      </c>
      <c r="L696" s="25">
        <v>43587.0</v>
      </c>
      <c r="M696" s="14" t="s">
        <v>2419</v>
      </c>
      <c r="N696" s="10"/>
      <c r="O696" s="15">
        <f t="shared" si="1"/>
        <v>2019</v>
      </c>
      <c r="P696" s="16" t="str">
        <f t="shared" si="2"/>
        <v>USD</v>
      </c>
      <c r="Q696" s="15">
        <f>IFERROR(__xludf.DUMMYFUNCTION("IFNA(INDEX(GOOGLEFINANCE(""Currency:USD""&amp;$P696,""price"",DATE(YEAR($L696),MONTH($L696),DAY($L696))),2,2),LOOKUP(P696,CurrencyCodes,UnitsPerUSD))"),1.0)</f>
        <v>1</v>
      </c>
      <c r="R696" s="17">
        <f t="shared" si="3"/>
        <v>249900</v>
      </c>
    </row>
    <row r="697">
      <c r="A697" s="7">
        <v>44027.34011024305</v>
      </c>
      <c r="B697" s="8" t="s">
        <v>18</v>
      </c>
      <c r="C697" s="9">
        <v>342.0</v>
      </c>
      <c r="D697" s="8" t="s">
        <v>2420</v>
      </c>
      <c r="E697" s="8" t="s">
        <v>2421</v>
      </c>
      <c r="F697" s="8" t="s">
        <v>2219</v>
      </c>
      <c r="G697" s="9">
        <v>11704.0</v>
      </c>
      <c r="H697" s="10" t="s">
        <v>1173</v>
      </c>
      <c r="I697" s="10" t="s">
        <v>39</v>
      </c>
      <c r="J697" s="11">
        <v>525000.0</v>
      </c>
      <c r="K697" s="10" t="s">
        <v>25</v>
      </c>
      <c r="L697" s="25">
        <v>38880.0</v>
      </c>
      <c r="M697" s="28" t="s">
        <v>2422</v>
      </c>
      <c r="N697" s="10" t="s">
        <v>2423</v>
      </c>
      <c r="O697" s="15">
        <f t="shared" si="1"/>
        <v>2006</v>
      </c>
      <c r="P697" s="16" t="str">
        <f t="shared" si="2"/>
        <v>USD</v>
      </c>
      <c r="Q697" s="15">
        <f>IFERROR(__xludf.DUMMYFUNCTION("IFNA(INDEX(GOOGLEFINANCE(""Currency:USD""&amp;$P697,""price"",DATE(YEAR($L697),MONTH($L697),DAY($L697))),2,2),LOOKUP(P697,CurrencyCodes,UnitsPerUSD))"),1.0)</f>
        <v>1</v>
      </c>
      <c r="R697" s="17">
        <f t="shared" si="3"/>
        <v>525000</v>
      </c>
    </row>
    <row r="698">
      <c r="A698" s="7">
        <v>44029.13118028935</v>
      </c>
      <c r="B698" s="8" t="s">
        <v>18</v>
      </c>
      <c r="C698" s="9">
        <v>7605.0</v>
      </c>
      <c r="D698" s="8" t="s">
        <v>2424</v>
      </c>
      <c r="E698" s="8" t="s">
        <v>2425</v>
      </c>
      <c r="F698" s="8" t="s">
        <v>2219</v>
      </c>
      <c r="G698" s="9">
        <v>14787.0</v>
      </c>
      <c r="H698" s="10" t="s">
        <v>1173</v>
      </c>
      <c r="I698" s="10" t="s">
        <v>24</v>
      </c>
      <c r="J698" s="11">
        <v>144900.0</v>
      </c>
      <c r="K698" s="12" t="s">
        <v>25</v>
      </c>
      <c r="L698" s="13"/>
      <c r="M698" s="14" t="s">
        <v>2426</v>
      </c>
      <c r="N698" s="10"/>
      <c r="O698" s="15" t="str">
        <f t="shared" si="1"/>
        <v>Unknown</v>
      </c>
      <c r="P698" s="16" t="str">
        <f t="shared" si="2"/>
        <v>USD</v>
      </c>
      <c r="Q698" s="15">
        <f>IFERROR(__xludf.DUMMYFUNCTION("IFNA(INDEX(GOOGLEFINANCE(""Currency:USD""&amp;$P698,""price"",DATE(YEAR($L698),MONTH($L698),DAY($L698))),2,2),LOOKUP(P698,CurrencyCodes,UnitsPerUSD))"),1.0)</f>
        <v>1</v>
      </c>
      <c r="R698" s="17">
        <f t="shared" si="3"/>
        <v>144900</v>
      </c>
    </row>
    <row r="699">
      <c r="A699" s="7">
        <v>44001.365121435185</v>
      </c>
      <c r="B699" s="18" t="s">
        <v>18</v>
      </c>
      <c r="C699" s="9">
        <v>7605.0</v>
      </c>
      <c r="D699" s="8" t="s">
        <v>2427</v>
      </c>
      <c r="E699" s="18" t="s">
        <v>2425</v>
      </c>
      <c r="F699" s="8" t="s">
        <v>2219</v>
      </c>
      <c r="G699" s="19">
        <v>14787.0</v>
      </c>
      <c r="H699" s="21" t="s">
        <v>1173</v>
      </c>
      <c r="I699" s="21" t="s">
        <v>24</v>
      </c>
      <c r="J699" s="11">
        <v>175000.0</v>
      </c>
      <c r="K699" s="21" t="s">
        <v>25</v>
      </c>
      <c r="L699" s="25">
        <v>44001.0</v>
      </c>
      <c r="M699" s="14" t="s">
        <v>2426</v>
      </c>
      <c r="N699" s="21"/>
      <c r="O699" s="15">
        <f t="shared" si="1"/>
        <v>2020</v>
      </c>
      <c r="P699" s="16" t="str">
        <f t="shared" si="2"/>
        <v>USD</v>
      </c>
      <c r="Q699" s="15">
        <f>IFERROR(__xludf.DUMMYFUNCTION("IFNA(INDEX(GOOGLEFINANCE(""Currency:USD""&amp;$P699,""price"",DATE(YEAR($L699),MONTH($L699),DAY($L699))),2,2),LOOKUP(P699,CurrencyCodes,UnitsPerUSD))"),1.0)</f>
        <v>1</v>
      </c>
      <c r="R699" s="17">
        <f t="shared" si="3"/>
        <v>175000</v>
      </c>
    </row>
    <row r="700">
      <c r="A700" s="7">
        <v>44029.17215225694</v>
      </c>
      <c r="B700" s="8" t="s">
        <v>18</v>
      </c>
      <c r="C700" s="9">
        <v>6710.0</v>
      </c>
      <c r="D700" s="8" t="s">
        <v>2428</v>
      </c>
      <c r="E700" s="8" t="s">
        <v>2429</v>
      </c>
      <c r="F700" s="8" t="s">
        <v>2219</v>
      </c>
      <c r="G700" s="9">
        <v>14221.0</v>
      </c>
      <c r="H700" s="10" t="s">
        <v>1173</v>
      </c>
      <c r="I700" s="10" t="s">
        <v>39</v>
      </c>
      <c r="J700" s="11">
        <v>356500.0</v>
      </c>
      <c r="K700" s="10" t="s">
        <v>25</v>
      </c>
      <c r="L700" s="25">
        <v>41642.0</v>
      </c>
      <c r="M700" s="14" t="s">
        <v>2430</v>
      </c>
      <c r="N700" s="10"/>
      <c r="O700" s="15">
        <f t="shared" si="1"/>
        <v>2014</v>
      </c>
      <c r="P700" s="16" t="str">
        <f t="shared" si="2"/>
        <v>USD</v>
      </c>
      <c r="Q700" s="15">
        <f>IFERROR(__xludf.DUMMYFUNCTION("IFNA(INDEX(GOOGLEFINANCE(""Currency:USD""&amp;$P700,""price"",DATE(YEAR($L700),MONTH($L700),DAY($L700))),2,2),LOOKUP(P700,CurrencyCodes,UnitsPerUSD))"),1.0)</f>
        <v>1</v>
      </c>
      <c r="R700" s="17">
        <f t="shared" si="3"/>
        <v>356500</v>
      </c>
    </row>
    <row r="701">
      <c r="A701" s="7">
        <v>43918.543625844904</v>
      </c>
      <c r="B701" s="18" t="s">
        <v>18</v>
      </c>
      <c r="C701" s="19">
        <v>12353.0</v>
      </c>
      <c r="D701" s="18" t="s">
        <v>2431</v>
      </c>
      <c r="E701" s="18" t="s">
        <v>2432</v>
      </c>
      <c r="F701" s="18" t="s">
        <v>2219</v>
      </c>
      <c r="G701" s="9">
        <v>14590.0</v>
      </c>
      <c r="H701" s="21" t="s">
        <v>1173</v>
      </c>
      <c r="I701" s="21" t="s">
        <v>39</v>
      </c>
      <c r="J701" s="11">
        <v>46500.0</v>
      </c>
      <c r="K701" s="21" t="s">
        <v>25</v>
      </c>
      <c r="L701" s="25">
        <v>43213.0</v>
      </c>
      <c r="M701" s="31" t="s">
        <v>2433</v>
      </c>
      <c r="N701" s="21"/>
      <c r="O701" s="15">
        <f t="shared" si="1"/>
        <v>2018</v>
      </c>
      <c r="P701" s="16" t="str">
        <f t="shared" si="2"/>
        <v>USD</v>
      </c>
      <c r="Q701" s="15">
        <f>IFERROR(__xludf.DUMMYFUNCTION("IFNA(INDEX(GOOGLEFINANCE(""Currency:USD""&amp;$P701,""price"",DATE(YEAR($L701),MONTH($L701),DAY($L701))),2,2),LOOKUP(P701,CurrencyCodes,UnitsPerUSD))"),1.0)</f>
        <v>1</v>
      </c>
      <c r="R701" s="17">
        <f t="shared" si="3"/>
        <v>46500</v>
      </c>
    </row>
    <row r="702">
      <c r="A702" s="7">
        <v>43918.542716400465</v>
      </c>
      <c r="B702" s="18" t="s">
        <v>18</v>
      </c>
      <c r="C702" s="19">
        <v>365.0</v>
      </c>
      <c r="D702" s="18" t="s">
        <v>2434</v>
      </c>
      <c r="E702" s="18" t="s">
        <v>2435</v>
      </c>
      <c r="F702" s="18" t="s">
        <v>2219</v>
      </c>
      <c r="G702" s="19">
        <v>10701.0</v>
      </c>
      <c r="H702" s="21" t="s">
        <v>1173</v>
      </c>
      <c r="I702" s="21" t="s">
        <v>39</v>
      </c>
      <c r="J702" s="11">
        <v>1195000.0</v>
      </c>
      <c r="K702" s="21" t="s">
        <v>25</v>
      </c>
      <c r="L702" s="25">
        <v>43288.0</v>
      </c>
      <c r="M702" s="31" t="s">
        <v>2436</v>
      </c>
      <c r="N702" s="21"/>
      <c r="O702" s="15">
        <f t="shared" si="1"/>
        <v>2018</v>
      </c>
      <c r="P702" s="16" t="str">
        <f t="shared" si="2"/>
        <v>USD</v>
      </c>
      <c r="Q702" s="15">
        <f>IFERROR(__xludf.DUMMYFUNCTION("IFNA(INDEX(GOOGLEFINANCE(""Currency:USD""&amp;$P702,""price"",DATE(YEAR($L702),MONTH($L702),DAY($L702))),2,2),LOOKUP(P702,CurrencyCodes,UnitsPerUSD))"),1.0)</f>
        <v>1</v>
      </c>
      <c r="R702" s="17">
        <f t="shared" si="3"/>
        <v>1195000</v>
      </c>
    </row>
    <row r="703">
      <c r="A703" s="7">
        <v>44005.201720324076</v>
      </c>
      <c r="B703" s="8" t="s">
        <v>2437</v>
      </c>
      <c r="C703" s="9">
        <v>896.0</v>
      </c>
      <c r="D703" s="8" t="s">
        <v>2438</v>
      </c>
      <c r="E703" s="8" t="s">
        <v>2439</v>
      </c>
      <c r="F703" s="8" t="s">
        <v>2440</v>
      </c>
      <c r="G703" s="9">
        <v>44307.0</v>
      </c>
      <c r="H703" s="10" t="s">
        <v>1173</v>
      </c>
      <c r="I703" s="10" t="s">
        <v>39</v>
      </c>
      <c r="J703" s="11">
        <v>0.0</v>
      </c>
      <c r="K703" s="12" t="s">
        <v>25</v>
      </c>
      <c r="L703" s="22"/>
      <c r="M703" s="10"/>
      <c r="N703" s="10"/>
      <c r="O703" s="15" t="str">
        <f t="shared" si="1"/>
        <v>Unknown</v>
      </c>
      <c r="P703" s="16" t="str">
        <f t="shared" si="2"/>
        <v>USD</v>
      </c>
      <c r="Q703" s="15">
        <f>IFERROR(__xludf.DUMMYFUNCTION("IFNA(INDEX(GOOGLEFINANCE(""Currency:USD""&amp;$P703,""price"",DATE(YEAR($L703),MONTH($L703),DAY($L703))),2,2),LOOKUP(P703,CurrencyCodes,UnitsPerUSD))"),1.0)</f>
        <v>1</v>
      </c>
      <c r="R703" s="17">
        <f t="shared" si="3"/>
        <v>0</v>
      </c>
    </row>
    <row r="704">
      <c r="A704" s="7">
        <v>44005.19947914351</v>
      </c>
      <c r="B704" s="8" t="s">
        <v>18</v>
      </c>
      <c r="C704" s="9">
        <v>927.0</v>
      </c>
      <c r="D704" s="8" t="s">
        <v>2441</v>
      </c>
      <c r="E704" s="8" t="s">
        <v>2442</v>
      </c>
      <c r="F704" s="8" t="s">
        <v>2440</v>
      </c>
      <c r="G704" s="9">
        <v>44303.0</v>
      </c>
      <c r="H704" s="10" t="s">
        <v>1173</v>
      </c>
      <c r="I704" s="10" t="s">
        <v>24</v>
      </c>
      <c r="J704" s="11">
        <v>229000.0</v>
      </c>
      <c r="K704" s="10" t="s">
        <v>25</v>
      </c>
      <c r="L704" s="25">
        <v>43691.0</v>
      </c>
      <c r="M704" s="14" t="s">
        <v>2443</v>
      </c>
      <c r="N704" s="10"/>
      <c r="O704" s="15">
        <f t="shared" si="1"/>
        <v>2019</v>
      </c>
      <c r="P704" s="16" t="str">
        <f t="shared" si="2"/>
        <v>USD</v>
      </c>
      <c r="Q704" s="15">
        <f>IFERROR(__xludf.DUMMYFUNCTION("IFNA(INDEX(GOOGLEFINANCE(""Currency:USD""&amp;$P704,""price"",DATE(YEAR($L704),MONTH($L704),DAY($L704))),2,2),LOOKUP(P704,CurrencyCodes,UnitsPerUSD))"),1.0)</f>
        <v>1</v>
      </c>
      <c r="R704" s="17">
        <f t="shared" si="3"/>
        <v>229000</v>
      </c>
    </row>
    <row r="705">
      <c r="A705" s="7">
        <v>44005.197570289354</v>
      </c>
      <c r="B705" s="8" t="s">
        <v>18</v>
      </c>
      <c r="C705" s="9">
        <v>1814.0</v>
      </c>
      <c r="D705" s="8" t="s">
        <v>2444</v>
      </c>
      <c r="E705" s="8" t="s">
        <v>2442</v>
      </c>
      <c r="F705" s="8" t="s">
        <v>2440</v>
      </c>
      <c r="G705" s="9">
        <v>44301.0</v>
      </c>
      <c r="H705" s="10" t="s">
        <v>1173</v>
      </c>
      <c r="I705" s="10" t="s">
        <v>39</v>
      </c>
      <c r="J705" s="11">
        <v>252500.0</v>
      </c>
      <c r="K705" s="10" t="s">
        <v>25</v>
      </c>
      <c r="L705" s="25">
        <v>43469.0</v>
      </c>
      <c r="M705" s="28" t="s">
        <v>2445</v>
      </c>
      <c r="N705" s="12" t="s">
        <v>2446</v>
      </c>
      <c r="O705" s="15">
        <f t="shared" si="1"/>
        <v>2019</v>
      </c>
      <c r="P705" s="16" t="str">
        <f t="shared" si="2"/>
        <v>USD</v>
      </c>
      <c r="Q705" s="15">
        <f>IFERROR(__xludf.DUMMYFUNCTION("IFNA(INDEX(GOOGLEFINANCE(""Currency:USD""&amp;$P705,""price"",DATE(YEAR($L705),MONTH($L705),DAY($L705))),2,2),LOOKUP(P705,CurrencyCodes,UnitsPerUSD))"),1.0)</f>
        <v>1</v>
      </c>
      <c r="R705" s="17">
        <f t="shared" si="3"/>
        <v>252500</v>
      </c>
    </row>
    <row r="706">
      <c r="A706" s="7">
        <v>44005.20404780093</v>
      </c>
      <c r="B706" s="18" t="s">
        <v>18</v>
      </c>
      <c r="C706" s="9">
        <v>735.0</v>
      </c>
      <c r="D706" s="18" t="s">
        <v>2447</v>
      </c>
      <c r="E706" s="18" t="s">
        <v>2448</v>
      </c>
      <c r="F706" s="18" t="s">
        <v>2440</v>
      </c>
      <c r="G706" s="9">
        <v>44601.0</v>
      </c>
      <c r="H706" s="21" t="s">
        <v>1173</v>
      </c>
      <c r="I706" s="21" t="s">
        <v>39</v>
      </c>
      <c r="J706" s="11">
        <v>0.0</v>
      </c>
      <c r="K706" s="27" t="s">
        <v>25</v>
      </c>
      <c r="L706" s="22"/>
      <c r="M706" s="21"/>
      <c r="N706" s="21" t="s">
        <v>2449</v>
      </c>
      <c r="O706" s="15" t="str">
        <f t="shared" si="1"/>
        <v>Unknown</v>
      </c>
      <c r="P706" s="16" t="str">
        <f t="shared" si="2"/>
        <v>USD</v>
      </c>
      <c r="Q706" s="15">
        <f>IFERROR(__xludf.DUMMYFUNCTION("IFNA(INDEX(GOOGLEFINANCE(""Currency:USD""&amp;$P706,""price"",DATE(YEAR($L706),MONTH($L706),DAY($L706))),2,2),LOOKUP(P706,CurrencyCodes,UnitsPerUSD))"),1.0)</f>
        <v>1</v>
      </c>
      <c r="R706" s="17">
        <f t="shared" si="3"/>
        <v>0</v>
      </c>
    </row>
    <row r="707">
      <c r="A707" s="7">
        <v>44005.206483842594</v>
      </c>
      <c r="B707" s="8" t="s">
        <v>2437</v>
      </c>
      <c r="C707" s="9">
        <v>59.0</v>
      </c>
      <c r="D707" s="8" t="s">
        <v>2450</v>
      </c>
      <c r="E707" s="8" t="s">
        <v>2451</v>
      </c>
      <c r="F707" s="8" t="s">
        <v>2440</v>
      </c>
      <c r="G707" s="9">
        <v>44805.0</v>
      </c>
      <c r="H707" s="10" t="s">
        <v>1173</v>
      </c>
      <c r="I707" s="10" t="s">
        <v>39</v>
      </c>
      <c r="J707" s="11">
        <v>0.0</v>
      </c>
      <c r="K707" s="12" t="s">
        <v>25</v>
      </c>
      <c r="L707" s="22"/>
      <c r="M707" s="10"/>
      <c r="N707" s="10" t="s">
        <v>2452</v>
      </c>
      <c r="O707" s="15" t="str">
        <f t="shared" si="1"/>
        <v>Unknown</v>
      </c>
      <c r="P707" s="16" t="str">
        <f t="shared" si="2"/>
        <v>USD</v>
      </c>
      <c r="Q707" s="15">
        <f>IFERROR(__xludf.DUMMYFUNCTION("IFNA(INDEX(GOOGLEFINANCE(""Currency:USD""&amp;$P707,""price"",DATE(YEAR($L707),MONTH($L707),DAY($L707))),2,2),LOOKUP(P707,CurrencyCodes,UnitsPerUSD))"),1.0)</f>
        <v>1</v>
      </c>
      <c r="R707" s="17">
        <f t="shared" si="3"/>
        <v>0</v>
      </c>
    </row>
    <row r="708">
      <c r="A708" s="7">
        <v>43896.87656232639</v>
      </c>
      <c r="B708" s="18" t="s">
        <v>18</v>
      </c>
      <c r="C708" s="19">
        <v>388.0</v>
      </c>
      <c r="D708" s="18" t="s">
        <v>2453</v>
      </c>
      <c r="E708" s="18" t="s">
        <v>2454</v>
      </c>
      <c r="F708" s="18" t="s">
        <v>2440</v>
      </c>
      <c r="G708" s="19"/>
      <c r="H708" s="21" t="s">
        <v>1173</v>
      </c>
      <c r="I708" s="21" t="s">
        <v>39</v>
      </c>
      <c r="J708" s="11">
        <v>162103.0</v>
      </c>
      <c r="K708" s="27" t="s">
        <v>25</v>
      </c>
      <c r="L708" s="22"/>
      <c r="M708" s="21"/>
      <c r="N708" s="21" t="s">
        <v>2455</v>
      </c>
      <c r="O708" s="15" t="str">
        <f t="shared" si="1"/>
        <v>Unknown</v>
      </c>
      <c r="P708" s="16" t="str">
        <f t="shared" si="2"/>
        <v>USD</v>
      </c>
      <c r="Q708" s="15">
        <f>IFERROR(__xludf.DUMMYFUNCTION("IFNA(INDEX(GOOGLEFINANCE(""Currency:USD""&amp;$P708,""price"",DATE(YEAR($L708),MONTH($L708),DAY($L708))),2,2),LOOKUP(P708,CurrencyCodes,UnitsPerUSD))"),1.0)</f>
        <v>1</v>
      </c>
      <c r="R708" s="17">
        <f t="shared" si="3"/>
        <v>162103</v>
      </c>
    </row>
    <row r="709">
      <c r="A709" s="7">
        <v>44005.21033814814</v>
      </c>
      <c r="B709" s="8" t="s">
        <v>18</v>
      </c>
      <c r="C709" s="9">
        <v>62700.0</v>
      </c>
      <c r="D709" s="8" t="s">
        <v>2456</v>
      </c>
      <c r="E709" s="8" t="s">
        <v>2457</v>
      </c>
      <c r="F709" s="8" t="s">
        <v>2440</v>
      </c>
      <c r="G709" s="9">
        <v>43713.0</v>
      </c>
      <c r="H709" s="10" t="s">
        <v>1173</v>
      </c>
      <c r="I709" s="10" t="s">
        <v>39</v>
      </c>
      <c r="J709" s="11">
        <v>135000.0</v>
      </c>
      <c r="K709" s="10" t="s">
        <v>25</v>
      </c>
      <c r="L709" s="25">
        <v>43060.0</v>
      </c>
      <c r="M709" s="28" t="s">
        <v>2458</v>
      </c>
      <c r="N709" s="10" t="s">
        <v>2459</v>
      </c>
      <c r="O709" s="15">
        <f t="shared" si="1"/>
        <v>2017</v>
      </c>
      <c r="P709" s="16" t="str">
        <f t="shared" si="2"/>
        <v>USD</v>
      </c>
      <c r="Q709" s="15">
        <f>IFERROR(__xludf.DUMMYFUNCTION("IFNA(INDEX(GOOGLEFINANCE(""Currency:USD""&amp;$P709,""price"",DATE(YEAR($L709),MONTH($L709),DAY($L709))),2,2),LOOKUP(P709,CurrencyCodes,UnitsPerUSD))"),1.0)</f>
        <v>1</v>
      </c>
      <c r="R709" s="17">
        <f t="shared" si="3"/>
        <v>135000</v>
      </c>
    </row>
    <row r="710">
      <c r="A710" s="7">
        <v>44064.12281981482</v>
      </c>
      <c r="B710" s="8" t="s">
        <v>18</v>
      </c>
      <c r="C710" s="9">
        <v>1406.0</v>
      </c>
      <c r="D710" s="8" t="s">
        <v>2460</v>
      </c>
      <c r="E710" s="8" t="s">
        <v>2461</v>
      </c>
      <c r="F710" s="8" t="s">
        <v>2440</v>
      </c>
      <c r="G710" s="9">
        <v>44146.0</v>
      </c>
      <c r="H710" s="10" t="s">
        <v>1173</v>
      </c>
      <c r="I710" s="10" t="s">
        <v>39</v>
      </c>
      <c r="J710" s="11">
        <v>265000.0</v>
      </c>
      <c r="K710" s="10" t="s">
        <v>25</v>
      </c>
      <c r="L710" s="25">
        <v>43082.0</v>
      </c>
      <c r="M710" s="14" t="s">
        <v>2462</v>
      </c>
      <c r="N710" s="10"/>
      <c r="O710" s="15">
        <f t="shared" si="1"/>
        <v>2017</v>
      </c>
      <c r="P710" s="16" t="str">
        <f t="shared" si="2"/>
        <v>USD</v>
      </c>
      <c r="Q710" s="15">
        <f>IFERROR(__xludf.DUMMYFUNCTION("IFNA(INDEX(GOOGLEFINANCE(""Currency:USD""&amp;$P710,""price"",DATE(YEAR($L710),MONTH($L710),DAY($L710))),2,2),LOOKUP(P710,CurrencyCodes,UnitsPerUSD))"),1.0)</f>
        <v>1</v>
      </c>
      <c r="R710" s="17">
        <f t="shared" si="3"/>
        <v>265000</v>
      </c>
    </row>
    <row r="711">
      <c r="A711" s="7">
        <v>44005.214457326394</v>
      </c>
      <c r="B711" s="8" t="s">
        <v>18</v>
      </c>
      <c r="C711" s="9">
        <v>440.0</v>
      </c>
      <c r="D711" s="8" t="s">
        <v>2463</v>
      </c>
      <c r="E711" s="8" t="s">
        <v>2464</v>
      </c>
      <c r="F711" s="8" t="s">
        <v>2440</v>
      </c>
      <c r="G711" s="9">
        <v>43311.0</v>
      </c>
      <c r="H711" s="10" t="s">
        <v>1173</v>
      </c>
      <c r="I711" s="10" t="s">
        <v>39</v>
      </c>
      <c r="J711" s="11">
        <v>0.0</v>
      </c>
      <c r="K711" s="12" t="s">
        <v>25</v>
      </c>
      <c r="L711" s="22"/>
      <c r="M711" s="10"/>
      <c r="N711" s="10" t="s">
        <v>2465</v>
      </c>
      <c r="O711" s="15" t="str">
        <f t="shared" si="1"/>
        <v>Unknown</v>
      </c>
      <c r="P711" s="16" t="str">
        <f t="shared" si="2"/>
        <v>USD</v>
      </c>
      <c r="Q711" s="15">
        <f>IFERROR(__xludf.DUMMYFUNCTION("IFNA(INDEX(GOOGLEFINANCE(""Currency:USD""&amp;$P711,""price"",DATE(YEAR($L711),MONTH($L711),DAY($L711))),2,2),LOOKUP(P711,CurrencyCodes,UnitsPerUSD))"),1.0)</f>
        <v>1</v>
      </c>
      <c r="R711" s="17">
        <f t="shared" si="3"/>
        <v>0</v>
      </c>
    </row>
    <row r="712">
      <c r="A712" s="7">
        <v>44005.216629120376</v>
      </c>
      <c r="B712" s="8" t="s">
        <v>18</v>
      </c>
      <c r="C712" s="9">
        <v>1224.0</v>
      </c>
      <c r="D712" s="26" t="s">
        <v>2466</v>
      </c>
      <c r="E712" s="8" t="s">
        <v>2467</v>
      </c>
      <c r="F712" s="8" t="s">
        <v>2440</v>
      </c>
      <c r="G712" s="9">
        <v>45107.0</v>
      </c>
      <c r="H712" s="10" t="s">
        <v>1173</v>
      </c>
      <c r="I712" s="10" t="s">
        <v>39</v>
      </c>
      <c r="J712" s="11">
        <v>0.0</v>
      </c>
      <c r="K712" s="12" t="s">
        <v>25</v>
      </c>
      <c r="L712" s="22"/>
      <c r="M712" s="10"/>
      <c r="N712" s="10"/>
      <c r="O712" s="15" t="str">
        <f t="shared" si="1"/>
        <v>Unknown</v>
      </c>
      <c r="P712" s="16" t="str">
        <f t="shared" si="2"/>
        <v>USD</v>
      </c>
      <c r="Q712" s="15">
        <f>IFERROR(__xludf.DUMMYFUNCTION("IFNA(INDEX(GOOGLEFINANCE(""Currency:USD""&amp;$P712,""price"",DATE(YEAR($L712),MONTH($L712),DAY($L712))),2,2),LOOKUP(P712,CurrencyCodes,UnitsPerUSD))"),1.0)</f>
        <v>1</v>
      </c>
      <c r="R712" s="17">
        <f t="shared" si="3"/>
        <v>0</v>
      </c>
    </row>
    <row r="713">
      <c r="A713" s="7">
        <v>43897.486800011575</v>
      </c>
      <c r="B713" s="8" t="s">
        <v>18</v>
      </c>
      <c r="C713" s="9">
        <v>8046.0</v>
      </c>
      <c r="D713" s="8" t="s">
        <v>2468</v>
      </c>
      <c r="E713" s="8" t="s">
        <v>2469</v>
      </c>
      <c r="F713" s="8" t="s">
        <v>2440</v>
      </c>
      <c r="G713" s="9"/>
      <c r="H713" s="10" t="s">
        <v>1173</v>
      </c>
      <c r="I713" s="10" t="s">
        <v>39</v>
      </c>
      <c r="J713" s="11">
        <v>350000.0</v>
      </c>
      <c r="K713" s="10" t="s">
        <v>25</v>
      </c>
      <c r="L713" s="25">
        <v>43511.0</v>
      </c>
      <c r="M713" s="10"/>
      <c r="N713" s="10"/>
      <c r="O713" s="15">
        <f t="shared" si="1"/>
        <v>2019</v>
      </c>
      <c r="P713" s="16" t="str">
        <f t="shared" si="2"/>
        <v>USD</v>
      </c>
      <c r="Q713" s="15">
        <f>IFERROR(__xludf.DUMMYFUNCTION("IFNA(INDEX(GOOGLEFINANCE(""Currency:USD""&amp;$P713,""price"",DATE(YEAR($L713),MONTH($L713),DAY($L713))),2,2),LOOKUP(P713,CurrencyCodes,UnitsPerUSD))"),1.0)</f>
        <v>1</v>
      </c>
      <c r="R713" s="17">
        <f t="shared" si="3"/>
        <v>350000</v>
      </c>
    </row>
    <row r="714">
      <c r="A714" s="7">
        <v>44063.22762563657</v>
      </c>
      <c r="B714" s="8" t="s">
        <v>18</v>
      </c>
      <c r="C714" s="9">
        <v>3158.0</v>
      </c>
      <c r="D714" s="8" t="s">
        <v>2470</v>
      </c>
      <c r="E714" s="8" t="s">
        <v>2471</v>
      </c>
      <c r="F714" s="8" t="s">
        <v>2440</v>
      </c>
      <c r="G714" s="9">
        <v>44820.0</v>
      </c>
      <c r="H714" s="10" t="s">
        <v>1173</v>
      </c>
      <c r="I714" s="10" t="s">
        <v>39</v>
      </c>
      <c r="J714" s="11">
        <v>80000.0</v>
      </c>
      <c r="K714" s="10" t="s">
        <v>25</v>
      </c>
      <c r="L714" s="25">
        <v>43161.0</v>
      </c>
      <c r="M714" s="14" t="s">
        <v>2472</v>
      </c>
      <c r="N714" s="10"/>
      <c r="O714" s="15">
        <f t="shared" si="1"/>
        <v>2018</v>
      </c>
      <c r="P714" s="16" t="str">
        <f t="shared" si="2"/>
        <v>USD</v>
      </c>
      <c r="Q714" s="15">
        <f>IFERROR(__xludf.DUMMYFUNCTION("IFNA(INDEX(GOOGLEFINANCE(""Currency:USD""&amp;$P714,""price"",DATE(YEAR($L714),MONTH($L714),DAY($L714))),2,2),LOOKUP(P714,CurrencyCodes,UnitsPerUSD))"),1.0)</f>
        <v>1</v>
      </c>
      <c r="R714" s="17">
        <f t="shared" si="3"/>
        <v>80000</v>
      </c>
    </row>
    <row r="715">
      <c r="A715" s="7">
        <v>44005.220883368056</v>
      </c>
      <c r="B715" s="8" t="s">
        <v>18</v>
      </c>
      <c r="C715" s="9">
        <v>710.0</v>
      </c>
      <c r="D715" s="8" t="s">
        <v>2473</v>
      </c>
      <c r="E715" s="8" t="s">
        <v>2474</v>
      </c>
      <c r="F715" s="8" t="s">
        <v>2440</v>
      </c>
      <c r="G715" s="9">
        <v>44405.0</v>
      </c>
      <c r="H715" s="10" t="s">
        <v>1173</v>
      </c>
      <c r="I715" s="10" t="s">
        <v>39</v>
      </c>
      <c r="J715" s="11">
        <v>50000.0</v>
      </c>
      <c r="K715" s="10" t="s">
        <v>25</v>
      </c>
      <c r="L715" s="25">
        <v>38449.0</v>
      </c>
      <c r="M715" s="28" t="s">
        <v>2475</v>
      </c>
      <c r="N715" s="12" t="s">
        <v>2476</v>
      </c>
      <c r="O715" s="15">
        <f t="shared" si="1"/>
        <v>2005</v>
      </c>
      <c r="P715" s="16" t="str">
        <f t="shared" si="2"/>
        <v>USD</v>
      </c>
      <c r="Q715" s="15">
        <f>IFERROR(__xludf.DUMMYFUNCTION("IFNA(INDEX(GOOGLEFINANCE(""Currency:USD""&amp;$P715,""price"",DATE(YEAR($L715),MONTH($L715),DAY($L715))),2,2),LOOKUP(P715,CurrencyCodes,UnitsPerUSD))"),1.0)</f>
        <v>1</v>
      </c>
      <c r="R715" s="17">
        <f t="shared" si="3"/>
        <v>50000</v>
      </c>
    </row>
    <row r="716">
      <c r="A716" s="7">
        <v>44063.260882222225</v>
      </c>
      <c r="B716" s="8" t="s">
        <v>18</v>
      </c>
      <c r="C716" s="9">
        <v>1319.0</v>
      </c>
      <c r="D716" s="8" t="s">
        <v>2477</v>
      </c>
      <c r="E716" s="8" t="s">
        <v>2478</v>
      </c>
      <c r="F716" s="8" t="s">
        <v>2440</v>
      </c>
      <c r="G716" s="9">
        <v>44707.0</v>
      </c>
      <c r="H716" s="10" t="s">
        <v>1173</v>
      </c>
      <c r="I716" s="10" t="s">
        <v>39</v>
      </c>
      <c r="J716" s="11">
        <v>115000.0</v>
      </c>
      <c r="K716" s="10" t="s">
        <v>25</v>
      </c>
      <c r="L716" s="25">
        <v>43384.0</v>
      </c>
      <c r="M716" s="14" t="s">
        <v>2479</v>
      </c>
      <c r="N716" s="10"/>
      <c r="O716" s="15">
        <f t="shared" si="1"/>
        <v>2018</v>
      </c>
      <c r="P716" s="16" t="str">
        <f t="shared" si="2"/>
        <v>USD</v>
      </c>
      <c r="Q716" s="15">
        <f>IFERROR(__xludf.DUMMYFUNCTION("IFNA(INDEX(GOOGLEFINANCE(""Currency:USD""&amp;$P716,""price"",DATE(YEAR($L716),MONTH($L716),DAY($L716))),2,2),LOOKUP(P716,CurrencyCodes,UnitsPerUSD))"),1.0)</f>
        <v>1</v>
      </c>
      <c r="R716" s="17">
        <f t="shared" si="3"/>
        <v>115000</v>
      </c>
    </row>
    <row r="717">
      <c r="A717" s="7">
        <v>44005.22494884259</v>
      </c>
      <c r="B717" s="8" t="s">
        <v>18</v>
      </c>
      <c r="C717" s="9">
        <v>4700.0</v>
      </c>
      <c r="D717" s="8" t="s">
        <v>2480</v>
      </c>
      <c r="E717" s="8" t="s">
        <v>2481</v>
      </c>
      <c r="F717" s="8" t="s">
        <v>2440</v>
      </c>
      <c r="G717" s="9">
        <v>44718.0</v>
      </c>
      <c r="H717" s="10" t="s">
        <v>1173</v>
      </c>
      <c r="I717" s="10" t="s">
        <v>39</v>
      </c>
      <c r="J717" s="11">
        <v>0.0</v>
      </c>
      <c r="K717" s="12" t="s">
        <v>25</v>
      </c>
      <c r="L717" s="22"/>
      <c r="M717" s="28" t="s">
        <v>2482</v>
      </c>
      <c r="N717" s="12" t="s">
        <v>2483</v>
      </c>
      <c r="O717" s="15" t="str">
        <f t="shared" si="1"/>
        <v>Unknown</v>
      </c>
      <c r="P717" s="16" t="str">
        <f t="shared" si="2"/>
        <v>USD</v>
      </c>
      <c r="Q717" s="15">
        <f>IFERROR(__xludf.DUMMYFUNCTION("IFNA(INDEX(GOOGLEFINANCE(""Currency:USD""&amp;$P717,""price"",DATE(YEAR($L717),MONTH($L717),DAY($L717))),2,2),LOOKUP(P717,CurrencyCodes,UnitsPerUSD))"),1.0)</f>
        <v>1</v>
      </c>
      <c r="R717" s="17">
        <f t="shared" si="3"/>
        <v>0</v>
      </c>
    </row>
    <row r="718">
      <c r="A718" s="7">
        <v>44005.23341649305</v>
      </c>
      <c r="B718" s="8" t="s">
        <v>18</v>
      </c>
      <c r="C718" s="9">
        <v>10509.0</v>
      </c>
      <c r="D718" s="8" t="s">
        <v>2484</v>
      </c>
      <c r="E718" s="8" t="s">
        <v>2485</v>
      </c>
      <c r="F718" s="8" t="s">
        <v>2440</v>
      </c>
      <c r="G718" s="9">
        <v>45619.0</v>
      </c>
      <c r="H718" s="10" t="s">
        <v>1173</v>
      </c>
      <c r="I718" s="10" t="s">
        <v>39</v>
      </c>
      <c r="J718" s="11">
        <v>110000.0</v>
      </c>
      <c r="K718" s="10" t="s">
        <v>25</v>
      </c>
      <c r="L718" s="25">
        <v>41900.0</v>
      </c>
      <c r="M718" s="28" t="s">
        <v>2486</v>
      </c>
      <c r="N718" s="10" t="s">
        <v>2487</v>
      </c>
      <c r="O718" s="15">
        <f t="shared" si="1"/>
        <v>2014</v>
      </c>
      <c r="P718" s="16" t="str">
        <f t="shared" si="2"/>
        <v>USD</v>
      </c>
      <c r="Q718" s="15">
        <f>IFERROR(__xludf.DUMMYFUNCTION("IFNA(INDEX(GOOGLEFINANCE(""Currency:USD""&amp;$P718,""price"",DATE(YEAR($L718),MONTH($L718),DAY($L718))),2,2),LOOKUP(P718,CurrencyCodes,UnitsPerUSD))"),1.0)</f>
        <v>1</v>
      </c>
      <c r="R718" s="17">
        <f t="shared" si="3"/>
        <v>110000</v>
      </c>
    </row>
    <row r="719">
      <c r="A719" s="7">
        <v>44005.23615067129</v>
      </c>
      <c r="B719" s="8" t="s">
        <v>18</v>
      </c>
      <c r="C719" s="9">
        <v>11550.0</v>
      </c>
      <c r="D719" s="8" t="s">
        <v>2488</v>
      </c>
      <c r="E719" s="8" t="s">
        <v>2489</v>
      </c>
      <c r="F719" s="8" t="s">
        <v>2440</v>
      </c>
      <c r="G719" s="9">
        <v>44026.0</v>
      </c>
      <c r="H719" s="10" t="s">
        <v>1173</v>
      </c>
      <c r="I719" s="10" t="s">
        <v>24</v>
      </c>
      <c r="J719" s="11">
        <v>199000.0</v>
      </c>
      <c r="K719" s="10" t="s">
        <v>25</v>
      </c>
      <c r="L719" s="25">
        <v>43994.0</v>
      </c>
      <c r="M719" s="14" t="s">
        <v>2490</v>
      </c>
      <c r="N719" s="10"/>
      <c r="O719" s="15">
        <f t="shared" si="1"/>
        <v>2020</v>
      </c>
      <c r="P719" s="16" t="str">
        <f t="shared" si="2"/>
        <v>USD</v>
      </c>
      <c r="Q719" s="15">
        <f>IFERROR(__xludf.DUMMYFUNCTION("IFNA(INDEX(GOOGLEFINANCE(""Currency:USD""&amp;$P719,""price"",DATE(YEAR($L719),MONTH($L719),DAY($L719))),2,2),LOOKUP(P719,CurrencyCodes,UnitsPerUSD))"),1.0)</f>
        <v>1</v>
      </c>
      <c r="R719" s="17">
        <f t="shared" si="3"/>
        <v>199000</v>
      </c>
    </row>
    <row r="720">
      <c r="A720" s="7">
        <v>44005.24519212963</v>
      </c>
      <c r="B720" s="8" t="s">
        <v>18</v>
      </c>
      <c r="C720" s="9">
        <v>5629.0</v>
      </c>
      <c r="D720" s="8" t="s">
        <v>2491</v>
      </c>
      <c r="E720" s="8" t="s">
        <v>2492</v>
      </c>
      <c r="F720" s="8" t="s">
        <v>2440</v>
      </c>
      <c r="G720" s="9">
        <v>45248.0</v>
      </c>
      <c r="H720" s="10" t="s">
        <v>1173</v>
      </c>
      <c r="I720" s="10" t="s">
        <v>39</v>
      </c>
      <c r="J720" s="11">
        <v>410000.0</v>
      </c>
      <c r="K720" s="10" t="s">
        <v>25</v>
      </c>
      <c r="L720" s="25">
        <v>43584.0</v>
      </c>
      <c r="M720" s="14" t="s">
        <v>2493</v>
      </c>
      <c r="N720" s="10"/>
      <c r="O720" s="15">
        <f t="shared" si="1"/>
        <v>2019</v>
      </c>
      <c r="P720" s="16" t="str">
        <f t="shared" si="2"/>
        <v>USD</v>
      </c>
      <c r="Q720" s="15">
        <f>IFERROR(__xludf.DUMMYFUNCTION("IFNA(INDEX(GOOGLEFINANCE(""Currency:USD""&amp;$P720,""price"",DATE(YEAR($L720),MONTH($L720),DAY($L720))),2,2),LOOKUP(P720,CurrencyCodes,UnitsPerUSD))"),1.0)</f>
        <v>1</v>
      </c>
      <c r="R720" s="17">
        <f t="shared" si="3"/>
        <v>410000</v>
      </c>
    </row>
    <row r="721">
      <c r="A721" s="7">
        <v>43897.608409872686</v>
      </c>
      <c r="B721" s="8" t="s">
        <v>18</v>
      </c>
      <c r="C721" s="9" t="s">
        <v>2494</v>
      </c>
      <c r="D721" s="8" t="s">
        <v>2495</v>
      </c>
      <c r="E721" s="8" t="s">
        <v>2492</v>
      </c>
      <c r="F721" s="8" t="s">
        <v>2440</v>
      </c>
      <c r="G721" s="9"/>
      <c r="H721" s="10" t="s">
        <v>1173</v>
      </c>
      <c r="I721" s="10" t="s">
        <v>39</v>
      </c>
      <c r="J721" s="11">
        <v>0.0</v>
      </c>
      <c r="K721" s="12" t="s">
        <v>25</v>
      </c>
      <c r="L721" s="22"/>
      <c r="M721" s="10"/>
      <c r="N721" s="10" t="s">
        <v>2496</v>
      </c>
      <c r="O721" s="15" t="str">
        <f t="shared" si="1"/>
        <v>Unknown</v>
      </c>
      <c r="P721" s="16" t="str">
        <f t="shared" si="2"/>
        <v>USD</v>
      </c>
      <c r="Q721" s="15">
        <f>IFERROR(__xludf.DUMMYFUNCTION("IFNA(INDEX(GOOGLEFINANCE(""Currency:USD""&amp;$P721,""price"",DATE(YEAR($L721),MONTH($L721),DAY($L721))),2,2),LOOKUP(P721,CurrencyCodes,UnitsPerUSD))"),1.0)</f>
        <v>1</v>
      </c>
      <c r="R721" s="17">
        <f t="shared" si="3"/>
        <v>0</v>
      </c>
    </row>
    <row r="722">
      <c r="A722" s="7">
        <v>44005.24769456018</v>
      </c>
      <c r="B722" s="8" t="s">
        <v>18</v>
      </c>
      <c r="C722" s="9">
        <v>7577.0</v>
      </c>
      <c r="D722" s="8" t="s">
        <v>2497</v>
      </c>
      <c r="E722" s="8" t="s">
        <v>2498</v>
      </c>
      <c r="F722" s="8" t="s">
        <v>2440</v>
      </c>
      <c r="G722" s="9">
        <v>45255.0</v>
      </c>
      <c r="H722" s="10" t="s">
        <v>1173</v>
      </c>
      <c r="I722" s="10" t="s">
        <v>24</v>
      </c>
      <c r="J722" s="37">
        <v>450000.0</v>
      </c>
      <c r="K722" s="10" t="s">
        <v>25</v>
      </c>
      <c r="L722" s="25">
        <v>44004.0</v>
      </c>
      <c r="M722" s="14" t="s">
        <v>2499</v>
      </c>
      <c r="N722" s="10"/>
      <c r="O722" s="15">
        <f t="shared" si="1"/>
        <v>2020</v>
      </c>
      <c r="P722" s="16" t="str">
        <f t="shared" si="2"/>
        <v>USD</v>
      </c>
      <c r="Q722" s="15">
        <f>IFERROR(__xludf.DUMMYFUNCTION("IFNA(INDEX(GOOGLEFINANCE(""Currency:USD""&amp;$P722,""price"",DATE(YEAR($L722),MONTH($L722),DAY($L722))),2,2),LOOKUP(P722,CurrencyCodes,UnitsPerUSD))"),1.0)</f>
        <v>1</v>
      </c>
      <c r="R722" s="17">
        <f t="shared" si="3"/>
        <v>450000</v>
      </c>
    </row>
    <row r="723">
      <c r="A723" s="7">
        <v>44005.24088332176</v>
      </c>
      <c r="B723" s="8" t="s">
        <v>18</v>
      </c>
      <c r="C723" s="9">
        <v>831.0</v>
      </c>
      <c r="D723" s="8" t="s">
        <v>2500</v>
      </c>
      <c r="E723" s="8" t="s">
        <v>2498</v>
      </c>
      <c r="F723" s="8" t="s">
        <v>2440</v>
      </c>
      <c r="G723" s="9">
        <v>45215.0</v>
      </c>
      <c r="H723" s="10" t="s">
        <v>1173</v>
      </c>
      <c r="I723" s="10" t="s">
        <v>39</v>
      </c>
      <c r="J723" s="11">
        <v>215000.0</v>
      </c>
      <c r="K723" s="10" t="s">
        <v>25</v>
      </c>
      <c r="L723" s="25">
        <v>43551.0</v>
      </c>
      <c r="M723" s="14" t="s">
        <v>2501</v>
      </c>
      <c r="N723" s="10"/>
      <c r="O723" s="15">
        <f t="shared" si="1"/>
        <v>2019</v>
      </c>
      <c r="P723" s="16" t="str">
        <f t="shared" si="2"/>
        <v>USD</v>
      </c>
      <c r="Q723" s="15">
        <f>IFERROR(__xludf.DUMMYFUNCTION("IFNA(INDEX(GOOGLEFINANCE(""Currency:USD""&amp;$P723,""price"",DATE(YEAR($L723),MONTH($L723),DAY($L723))),2,2),LOOKUP(P723,CurrencyCodes,UnitsPerUSD))"),1.0)</f>
        <v>1</v>
      </c>
      <c r="R723" s="17">
        <f t="shared" si="3"/>
        <v>215000</v>
      </c>
    </row>
    <row r="724">
      <c r="A724" s="7">
        <v>44005.23829317129</v>
      </c>
      <c r="B724" s="8" t="s">
        <v>18</v>
      </c>
      <c r="C724" s="9">
        <v>5902.0</v>
      </c>
      <c r="D724" s="8" t="s">
        <v>2502</v>
      </c>
      <c r="E724" s="8" t="s">
        <v>2498</v>
      </c>
      <c r="F724" s="8" t="s">
        <v>2440</v>
      </c>
      <c r="G724" s="9">
        <v>45213.0</v>
      </c>
      <c r="H724" s="10" t="s">
        <v>1173</v>
      </c>
      <c r="I724" s="10" t="s">
        <v>39</v>
      </c>
      <c r="J724" s="11">
        <v>0.0</v>
      </c>
      <c r="K724" s="12" t="s">
        <v>25</v>
      </c>
      <c r="L724" s="22"/>
      <c r="M724" s="10"/>
      <c r="N724" s="12" t="s">
        <v>2503</v>
      </c>
      <c r="O724" s="15" t="str">
        <f t="shared" si="1"/>
        <v>Unknown</v>
      </c>
      <c r="P724" s="16" t="str">
        <f t="shared" si="2"/>
        <v>USD</v>
      </c>
      <c r="Q724" s="15">
        <f>IFERROR(__xludf.DUMMYFUNCTION("IFNA(INDEX(GOOGLEFINANCE(""Currency:USD""&amp;$P724,""price"",DATE(YEAR($L724),MONTH($L724),DAY($L724))),2,2),LOOKUP(P724,CurrencyCodes,UnitsPerUSD))"),1.0)</f>
        <v>1</v>
      </c>
      <c r="R724" s="17">
        <f t="shared" si="3"/>
        <v>0</v>
      </c>
    </row>
    <row r="725">
      <c r="A725" s="7">
        <v>44064.12454722222</v>
      </c>
      <c r="B725" s="8" t="s">
        <v>18</v>
      </c>
      <c r="C725" s="9">
        <v>8046.0</v>
      </c>
      <c r="D725" s="8" t="s">
        <v>2468</v>
      </c>
      <c r="E725" s="8" t="s">
        <v>1397</v>
      </c>
      <c r="F725" s="8" t="s">
        <v>2440</v>
      </c>
      <c r="G725" s="9">
        <v>44147.0</v>
      </c>
      <c r="H725" s="10" t="s">
        <v>1173</v>
      </c>
      <c r="I725" s="10" t="s">
        <v>39</v>
      </c>
      <c r="J725" s="11">
        <v>350000.0</v>
      </c>
      <c r="K725" s="10" t="s">
        <v>25</v>
      </c>
      <c r="L725" s="25">
        <v>43511.0</v>
      </c>
      <c r="M725" s="14" t="s">
        <v>2504</v>
      </c>
      <c r="N725" s="10"/>
      <c r="O725" s="15">
        <f t="shared" si="1"/>
        <v>2019</v>
      </c>
      <c r="P725" s="16" t="str">
        <f t="shared" si="2"/>
        <v>USD</v>
      </c>
      <c r="Q725" s="15">
        <f>IFERROR(__xludf.DUMMYFUNCTION("IFNA(INDEX(GOOGLEFINANCE(""Currency:USD""&amp;$P725,""price"",DATE(YEAR($L725),MONTH($L725),DAY($L725))),2,2),LOOKUP(P725,CurrencyCodes,UnitsPerUSD))"),1.0)</f>
        <v>1</v>
      </c>
      <c r="R725" s="17">
        <f t="shared" si="3"/>
        <v>350000</v>
      </c>
    </row>
    <row r="726">
      <c r="A726" s="7">
        <v>44064.03716553241</v>
      </c>
      <c r="B726" s="8" t="s">
        <v>18</v>
      </c>
      <c r="C726" s="9">
        <v>3949.0</v>
      </c>
      <c r="D726" s="8" t="s">
        <v>2505</v>
      </c>
      <c r="E726" s="8" t="s">
        <v>1397</v>
      </c>
      <c r="F726" s="8" t="s">
        <v>2440</v>
      </c>
      <c r="G726" s="9">
        <v>44105.0</v>
      </c>
      <c r="H726" s="10" t="s">
        <v>1173</v>
      </c>
      <c r="I726" s="10" t="s">
        <v>39</v>
      </c>
      <c r="J726" s="11">
        <v>230000.0</v>
      </c>
      <c r="K726" s="10" t="s">
        <v>25</v>
      </c>
      <c r="L726" s="25">
        <v>43766.0</v>
      </c>
      <c r="M726" s="14" t="s">
        <v>2506</v>
      </c>
      <c r="N726" s="10"/>
      <c r="O726" s="15">
        <f t="shared" si="1"/>
        <v>2019</v>
      </c>
      <c r="P726" s="16" t="str">
        <f t="shared" si="2"/>
        <v>USD</v>
      </c>
      <c r="Q726" s="15">
        <f>IFERROR(__xludf.DUMMYFUNCTION("IFNA(INDEX(GOOGLEFINANCE(""Currency:USD""&amp;$P726,""price"",DATE(YEAR($L726),MONTH($L726),DAY($L726))),2,2),LOOKUP(P726,CurrencyCodes,UnitsPerUSD))"),1.0)</f>
        <v>1</v>
      </c>
      <c r="R726" s="17">
        <f t="shared" si="3"/>
        <v>230000</v>
      </c>
    </row>
    <row r="727">
      <c r="A727" s="7">
        <v>44064.033952337966</v>
      </c>
      <c r="B727" s="8" t="s">
        <v>18</v>
      </c>
      <c r="C727" s="9">
        <v>1914.0</v>
      </c>
      <c r="D727" s="8" t="s">
        <v>2507</v>
      </c>
      <c r="E727" s="8" t="s">
        <v>1397</v>
      </c>
      <c r="F727" s="8" t="s">
        <v>2440</v>
      </c>
      <c r="G727" s="9">
        <v>44103.0</v>
      </c>
      <c r="H727" s="10" t="s">
        <v>1173</v>
      </c>
      <c r="I727" s="10" t="s">
        <v>39</v>
      </c>
      <c r="J727" s="11">
        <v>300000.0</v>
      </c>
      <c r="K727" s="10" t="s">
        <v>25</v>
      </c>
      <c r="L727" s="25">
        <v>43602.0</v>
      </c>
      <c r="M727" s="14" t="s">
        <v>2508</v>
      </c>
      <c r="N727" s="10"/>
      <c r="O727" s="15">
        <f t="shared" si="1"/>
        <v>2019</v>
      </c>
      <c r="P727" s="16" t="str">
        <f t="shared" si="2"/>
        <v>USD</v>
      </c>
      <c r="Q727" s="15">
        <f>IFERROR(__xludf.DUMMYFUNCTION("IFNA(INDEX(GOOGLEFINANCE(""Currency:USD""&amp;$P727,""price"",DATE(YEAR($L727),MONTH($L727),DAY($L727))),2,2),LOOKUP(P727,CurrencyCodes,UnitsPerUSD))"),1.0)</f>
        <v>1</v>
      </c>
      <c r="R727" s="17">
        <f t="shared" si="3"/>
        <v>300000</v>
      </c>
    </row>
    <row r="728">
      <c r="A728" s="7">
        <v>44064.039514918986</v>
      </c>
      <c r="B728" s="8" t="s">
        <v>18</v>
      </c>
      <c r="C728" s="9">
        <v>17526.0</v>
      </c>
      <c r="D728" s="8" t="s">
        <v>2509</v>
      </c>
      <c r="E728" s="8" t="s">
        <v>1397</v>
      </c>
      <c r="F728" s="8" t="s">
        <v>2440</v>
      </c>
      <c r="G728" s="9">
        <v>44107.0</v>
      </c>
      <c r="H728" s="10" t="s">
        <v>1173</v>
      </c>
      <c r="I728" s="10" t="s">
        <v>39</v>
      </c>
      <c r="J728" s="11">
        <v>290000.0</v>
      </c>
      <c r="K728" s="10" t="s">
        <v>25</v>
      </c>
      <c r="L728" s="25">
        <v>38469.0</v>
      </c>
      <c r="M728" s="28" t="s">
        <v>2510</v>
      </c>
      <c r="N728" s="10" t="s">
        <v>2511</v>
      </c>
      <c r="O728" s="15">
        <f t="shared" si="1"/>
        <v>2005</v>
      </c>
      <c r="P728" s="16" t="str">
        <f t="shared" si="2"/>
        <v>USD</v>
      </c>
      <c r="Q728" s="15">
        <f>IFERROR(__xludf.DUMMYFUNCTION("IFNA(INDEX(GOOGLEFINANCE(""Currency:USD""&amp;$P728,""price"",DATE(YEAR($L728),MONTH($L728),DAY($L728))),2,2),LOOKUP(P728,CurrencyCodes,UnitsPerUSD))"),1.0)</f>
        <v>1</v>
      </c>
      <c r="R728" s="17">
        <f t="shared" si="3"/>
        <v>290000</v>
      </c>
    </row>
    <row r="729">
      <c r="A729" s="7">
        <v>43897.64530716435</v>
      </c>
      <c r="B729" s="18" t="s">
        <v>18</v>
      </c>
      <c r="C729" s="19">
        <v>3645.0</v>
      </c>
      <c r="D729" s="18" t="s">
        <v>2512</v>
      </c>
      <c r="E729" s="18" t="s">
        <v>1397</v>
      </c>
      <c r="F729" s="8" t="s">
        <v>2440</v>
      </c>
      <c r="G729" s="19"/>
      <c r="H729" s="21" t="s">
        <v>1173</v>
      </c>
      <c r="I729" s="21" t="s">
        <v>39</v>
      </c>
      <c r="J729" s="11">
        <v>189900.0</v>
      </c>
      <c r="K729" s="27" t="s">
        <v>25</v>
      </c>
      <c r="L729" s="22"/>
      <c r="M729" s="21"/>
      <c r="N729" s="10"/>
      <c r="O729" s="15" t="str">
        <f t="shared" si="1"/>
        <v>Unknown</v>
      </c>
      <c r="P729" s="16" t="str">
        <f t="shared" si="2"/>
        <v>USD</v>
      </c>
      <c r="Q729" s="15">
        <f>IFERROR(__xludf.DUMMYFUNCTION("IFNA(INDEX(GOOGLEFINANCE(""Currency:USD""&amp;$P729,""price"",DATE(YEAR($L729),MONTH($L729),DAY($L729))),2,2),LOOKUP(P729,CurrencyCodes,UnitsPerUSD))"),1.0)</f>
        <v>1</v>
      </c>
      <c r="R729" s="17">
        <f t="shared" si="3"/>
        <v>189900</v>
      </c>
    </row>
    <row r="730">
      <c r="A730" s="7">
        <v>44005.33888850694</v>
      </c>
      <c r="B730" s="8" t="s">
        <v>18</v>
      </c>
      <c r="C730" s="9">
        <v>1406.0</v>
      </c>
      <c r="D730" s="8" t="s">
        <v>2513</v>
      </c>
      <c r="E730" s="8" t="s">
        <v>2514</v>
      </c>
      <c r="F730" s="8" t="s">
        <v>2440</v>
      </c>
      <c r="G730" s="9">
        <v>44145.0</v>
      </c>
      <c r="H730" s="10" t="s">
        <v>1173</v>
      </c>
      <c r="I730" s="10" t="s">
        <v>39</v>
      </c>
      <c r="J730" s="11">
        <v>265000.0</v>
      </c>
      <c r="K730" s="10" t="s">
        <v>25</v>
      </c>
      <c r="L730" s="25">
        <v>43082.0</v>
      </c>
      <c r="M730" s="28" t="s">
        <v>2515</v>
      </c>
      <c r="N730" s="12" t="s">
        <v>2516</v>
      </c>
      <c r="O730" s="15">
        <f t="shared" si="1"/>
        <v>2017</v>
      </c>
      <c r="P730" s="16" t="str">
        <f t="shared" si="2"/>
        <v>USD</v>
      </c>
      <c r="Q730" s="15">
        <f>IFERROR(__xludf.DUMMYFUNCTION("IFNA(INDEX(GOOGLEFINANCE(""Currency:USD""&amp;$P730,""price"",DATE(YEAR($L730),MONTH($L730),DAY($L730))),2,2),LOOKUP(P730,CurrencyCodes,UnitsPerUSD))"),1.0)</f>
        <v>1</v>
      </c>
      <c r="R730" s="17">
        <f t="shared" si="3"/>
        <v>265000</v>
      </c>
    </row>
    <row r="731">
      <c r="A731" s="7">
        <v>44005.33703385417</v>
      </c>
      <c r="B731" s="8" t="s">
        <v>2517</v>
      </c>
      <c r="C731" s="9">
        <v>27503.0</v>
      </c>
      <c r="D731" s="8" t="s">
        <v>2518</v>
      </c>
      <c r="E731" s="8" t="s">
        <v>2514</v>
      </c>
      <c r="F731" s="8" t="s">
        <v>2440</v>
      </c>
      <c r="G731" s="9">
        <v>44145.0</v>
      </c>
      <c r="H731" s="10" t="s">
        <v>1173</v>
      </c>
      <c r="I731" s="10" t="s">
        <v>39</v>
      </c>
      <c r="J731" s="11">
        <v>148400.0</v>
      </c>
      <c r="K731" s="10" t="s">
        <v>25</v>
      </c>
      <c r="L731" s="25">
        <v>42073.0</v>
      </c>
      <c r="M731" s="14" t="s">
        <v>2519</v>
      </c>
      <c r="N731" s="10"/>
      <c r="O731" s="15">
        <f t="shared" si="1"/>
        <v>2015</v>
      </c>
      <c r="P731" s="16" t="str">
        <f t="shared" si="2"/>
        <v>USD</v>
      </c>
      <c r="Q731" s="15">
        <f>IFERROR(__xludf.DUMMYFUNCTION("IFNA(INDEX(GOOGLEFINANCE(""Currency:USD""&amp;$P731,""price"",DATE(YEAR($L731),MONTH($L731),DAY($L731))),2,2),LOOKUP(P731,CurrencyCodes,UnitsPerUSD))"),1.0)</f>
        <v>1</v>
      </c>
      <c r="R731" s="17">
        <f t="shared" si="3"/>
        <v>148400</v>
      </c>
    </row>
    <row r="732">
      <c r="A732" s="7">
        <v>44005.262387951385</v>
      </c>
      <c r="B732" s="18" t="s">
        <v>18</v>
      </c>
      <c r="C732" s="19">
        <v>3135.0</v>
      </c>
      <c r="D732" s="18" t="s">
        <v>2520</v>
      </c>
      <c r="E732" s="18" t="s">
        <v>2514</v>
      </c>
      <c r="F732" s="18" t="s">
        <v>2440</v>
      </c>
      <c r="G732" s="9">
        <v>44120.0</v>
      </c>
      <c r="H732" s="21" t="s">
        <v>1173</v>
      </c>
      <c r="I732" s="21" t="s">
        <v>24</v>
      </c>
      <c r="J732" s="11">
        <v>144900.0</v>
      </c>
      <c r="K732" s="21" t="s">
        <v>25</v>
      </c>
      <c r="L732" s="25">
        <v>43783.0</v>
      </c>
      <c r="M732" s="31" t="s">
        <v>2521</v>
      </c>
      <c r="N732" s="21"/>
      <c r="O732" s="15">
        <f t="shared" si="1"/>
        <v>2019</v>
      </c>
      <c r="P732" s="16" t="str">
        <f t="shared" si="2"/>
        <v>USD</v>
      </c>
      <c r="Q732" s="15">
        <f>IFERROR(__xludf.DUMMYFUNCTION("IFNA(INDEX(GOOGLEFINANCE(""Currency:USD""&amp;$P732,""price"",DATE(YEAR($L732),MONTH($L732),DAY($L732))),2,2),LOOKUP(P732,CurrencyCodes,UnitsPerUSD))"),1.0)</f>
        <v>1</v>
      </c>
      <c r="R732" s="17">
        <f t="shared" si="3"/>
        <v>144900</v>
      </c>
    </row>
    <row r="733">
      <c r="A733" s="7">
        <v>44005.333270613424</v>
      </c>
      <c r="B733" s="18" t="s">
        <v>18</v>
      </c>
      <c r="C733" s="19">
        <v>6087.0</v>
      </c>
      <c r="D733" s="18" t="s">
        <v>2522</v>
      </c>
      <c r="E733" s="18" t="s">
        <v>2514</v>
      </c>
      <c r="F733" s="18" t="s">
        <v>2440</v>
      </c>
      <c r="G733" s="19">
        <v>44129.0</v>
      </c>
      <c r="H733" s="21" t="s">
        <v>1173</v>
      </c>
      <c r="I733" s="21" t="s">
        <v>39</v>
      </c>
      <c r="J733" s="11">
        <v>0.0</v>
      </c>
      <c r="K733" s="27" t="s">
        <v>25</v>
      </c>
      <c r="L733" s="22"/>
      <c r="M733" s="24" t="s">
        <v>2523</v>
      </c>
      <c r="N733" s="27" t="s">
        <v>2524</v>
      </c>
      <c r="O733" s="15" t="str">
        <f t="shared" si="1"/>
        <v>Unknown</v>
      </c>
      <c r="P733" s="16" t="str">
        <f t="shared" si="2"/>
        <v>USD</v>
      </c>
      <c r="Q733" s="15">
        <f>IFERROR(__xludf.DUMMYFUNCTION("IFNA(INDEX(GOOGLEFINANCE(""Currency:USD""&amp;$P733,""price"",DATE(YEAR($L733),MONTH($L733),DAY($L733))),2,2),LOOKUP(P733,CurrencyCodes,UnitsPerUSD))"),1.0)</f>
        <v>1</v>
      </c>
      <c r="R733" s="17">
        <f t="shared" si="3"/>
        <v>0</v>
      </c>
    </row>
    <row r="734">
      <c r="A734" s="7">
        <v>44005.24969815972</v>
      </c>
      <c r="B734" s="8" t="s">
        <v>18</v>
      </c>
      <c r="C734" s="9">
        <v>8421.0</v>
      </c>
      <c r="D734" s="8" t="s">
        <v>2525</v>
      </c>
      <c r="E734" s="8" t="s">
        <v>2514</v>
      </c>
      <c r="F734" s="8" t="s">
        <v>2440</v>
      </c>
      <c r="G734" s="9">
        <v>44103.0</v>
      </c>
      <c r="H734" s="10" t="s">
        <v>1173</v>
      </c>
      <c r="I734" s="10" t="s">
        <v>39</v>
      </c>
      <c r="J734" s="11">
        <v>0.0</v>
      </c>
      <c r="K734" s="12" t="s">
        <v>25</v>
      </c>
      <c r="L734" s="22"/>
      <c r="M734" s="10"/>
      <c r="N734" s="12" t="s">
        <v>2526</v>
      </c>
      <c r="O734" s="15" t="str">
        <f t="shared" si="1"/>
        <v>Unknown</v>
      </c>
      <c r="P734" s="16" t="str">
        <f t="shared" si="2"/>
        <v>USD</v>
      </c>
      <c r="Q734" s="15">
        <f>IFERROR(__xludf.DUMMYFUNCTION("IFNA(INDEX(GOOGLEFINANCE(""Currency:USD""&amp;$P734,""price"",DATE(YEAR($L734),MONTH($L734),DAY($L734))),2,2),LOOKUP(P734,CurrencyCodes,UnitsPerUSD))"),1.0)</f>
        <v>1</v>
      </c>
      <c r="R734" s="17">
        <f t="shared" si="3"/>
        <v>0</v>
      </c>
    </row>
    <row r="735">
      <c r="A735" s="7">
        <v>44005.34353304398</v>
      </c>
      <c r="B735" s="8" t="s">
        <v>18</v>
      </c>
      <c r="C735" s="9">
        <v>603.0</v>
      </c>
      <c r="D735" s="8" t="s">
        <v>2527</v>
      </c>
      <c r="E735" s="8" t="s">
        <v>2528</v>
      </c>
      <c r="F735" s="8" t="s">
        <v>2440</v>
      </c>
      <c r="G735" s="9">
        <v>44408.0</v>
      </c>
      <c r="H735" s="10" t="s">
        <v>1173</v>
      </c>
      <c r="I735" s="10" t="s">
        <v>39</v>
      </c>
      <c r="J735" s="11">
        <v>0.0</v>
      </c>
      <c r="K735" s="12" t="s">
        <v>25</v>
      </c>
      <c r="L735" s="22"/>
      <c r="M735" s="10"/>
      <c r="N735" s="12" t="s">
        <v>2529</v>
      </c>
      <c r="O735" s="15" t="str">
        <f t="shared" si="1"/>
        <v>Unknown</v>
      </c>
      <c r="P735" s="16" t="str">
        <f t="shared" si="2"/>
        <v>USD</v>
      </c>
      <c r="Q735" s="15">
        <f>IFERROR(__xludf.DUMMYFUNCTION("IFNA(INDEX(GOOGLEFINANCE(""Currency:USD""&amp;$P735,""price"",DATE(YEAR($L735),MONTH($L735),DAY($L735))),2,2),LOOKUP(P735,CurrencyCodes,UnitsPerUSD))"),1.0)</f>
        <v>1</v>
      </c>
      <c r="R735" s="17">
        <f t="shared" si="3"/>
        <v>0</v>
      </c>
    </row>
    <row r="736">
      <c r="A736" s="7">
        <v>44005.345138958335</v>
      </c>
      <c r="B736" s="8" t="s">
        <v>18</v>
      </c>
      <c r="C736" s="9">
        <v>2505.0</v>
      </c>
      <c r="D736" s="8" t="s">
        <v>2530</v>
      </c>
      <c r="E736" s="8" t="s">
        <v>2531</v>
      </c>
      <c r="F736" s="8" t="s">
        <v>2440</v>
      </c>
      <c r="G736" s="9">
        <v>43207.0</v>
      </c>
      <c r="H736" s="10" t="s">
        <v>1173</v>
      </c>
      <c r="I736" s="10" t="s">
        <v>39</v>
      </c>
      <c r="J736" s="11">
        <v>540000.0</v>
      </c>
      <c r="K736" s="10" t="s">
        <v>25</v>
      </c>
      <c r="L736" s="25">
        <v>43759.0</v>
      </c>
      <c r="M736" s="14" t="s">
        <v>2532</v>
      </c>
      <c r="N736" s="10"/>
      <c r="O736" s="15">
        <f t="shared" si="1"/>
        <v>2019</v>
      </c>
      <c r="P736" s="16" t="str">
        <f t="shared" si="2"/>
        <v>USD</v>
      </c>
      <c r="Q736" s="15">
        <f>IFERROR(__xludf.DUMMYFUNCTION("IFNA(INDEX(GOOGLEFINANCE(""Currency:USD""&amp;$P736,""price"",DATE(YEAR($L736),MONTH($L736),DAY($L736))),2,2),LOOKUP(P736,CurrencyCodes,UnitsPerUSD))"),1.0)</f>
        <v>1</v>
      </c>
      <c r="R736" s="17">
        <f t="shared" si="3"/>
        <v>540000</v>
      </c>
    </row>
    <row r="737">
      <c r="A737" s="7">
        <v>44005.348180810186</v>
      </c>
      <c r="B737" s="18" t="s">
        <v>18</v>
      </c>
      <c r="C737" s="19">
        <v>1084.0</v>
      </c>
      <c r="D737" s="18" t="s">
        <v>2533</v>
      </c>
      <c r="E737" s="18" t="s">
        <v>2534</v>
      </c>
      <c r="F737" s="18" t="s">
        <v>2440</v>
      </c>
      <c r="G737" s="19">
        <v>43224.0</v>
      </c>
      <c r="H737" s="21" t="s">
        <v>1173</v>
      </c>
      <c r="I737" s="21" t="s">
        <v>39</v>
      </c>
      <c r="J737" s="11">
        <v>0.0</v>
      </c>
      <c r="K737" s="27" t="s">
        <v>25</v>
      </c>
      <c r="L737" s="22"/>
      <c r="M737" s="21"/>
      <c r="N737" s="12" t="s">
        <v>2535</v>
      </c>
      <c r="O737" s="15" t="str">
        <f t="shared" si="1"/>
        <v>Unknown</v>
      </c>
      <c r="P737" s="16" t="str">
        <f t="shared" si="2"/>
        <v>USD</v>
      </c>
      <c r="Q737" s="15">
        <f>IFERROR(__xludf.DUMMYFUNCTION("IFNA(INDEX(GOOGLEFINANCE(""Currency:USD""&amp;$P737,""price"",DATE(YEAR($L737),MONTH($L737),DAY($L737))),2,2),LOOKUP(P737,CurrencyCodes,UnitsPerUSD))"),1.0)</f>
        <v>1</v>
      </c>
      <c r="R737" s="17">
        <f t="shared" si="3"/>
        <v>0</v>
      </c>
    </row>
    <row r="738">
      <c r="A738" s="7">
        <v>44005.36003393518</v>
      </c>
      <c r="B738" s="18" t="s">
        <v>18</v>
      </c>
      <c r="C738" s="19">
        <v>5636.0</v>
      </c>
      <c r="D738" s="18" t="s">
        <v>2536</v>
      </c>
      <c r="E738" s="18" t="s">
        <v>2537</v>
      </c>
      <c r="F738" s="18" t="s">
        <v>2440</v>
      </c>
      <c r="G738" s="19">
        <v>45459.0</v>
      </c>
      <c r="H738" s="21" t="s">
        <v>1173</v>
      </c>
      <c r="I738" s="21" t="s">
        <v>39</v>
      </c>
      <c r="J738" s="11">
        <v>380000.0</v>
      </c>
      <c r="K738" s="21" t="s">
        <v>25</v>
      </c>
      <c r="L738" s="25">
        <v>43837.0</v>
      </c>
      <c r="M738" s="31" t="s">
        <v>2538</v>
      </c>
      <c r="N738" s="10"/>
      <c r="O738" s="15">
        <f t="shared" si="1"/>
        <v>2020</v>
      </c>
      <c r="P738" s="16" t="str">
        <f t="shared" si="2"/>
        <v>USD</v>
      </c>
      <c r="Q738" s="15">
        <f>IFERROR(__xludf.DUMMYFUNCTION("IFNA(INDEX(GOOGLEFINANCE(""Currency:USD""&amp;$P738,""price"",DATE(YEAR($L738),MONTH($L738),DAY($L738))),2,2),LOOKUP(P738,CurrencyCodes,UnitsPerUSD))"),1.0)</f>
        <v>1</v>
      </c>
      <c r="R738" s="17">
        <f t="shared" si="3"/>
        <v>380000</v>
      </c>
    </row>
    <row r="739">
      <c r="A739" s="7">
        <v>44005.35377555556</v>
      </c>
      <c r="B739" s="18" t="s">
        <v>18</v>
      </c>
      <c r="C739" s="19">
        <v>2700.0</v>
      </c>
      <c r="D739" s="18" t="s">
        <v>2539</v>
      </c>
      <c r="E739" s="18" t="s">
        <v>2540</v>
      </c>
      <c r="F739" s="18" t="s">
        <v>2440</v>
      </c>
      <c r="G739" s="19">
        <v>45407.0</v>
      </c>
      <c r="H739" s="21" t="s">
        <v>1173</v>
      </c>
      <c r="I739" s="21" t="s">
        <v>24</v>
      </c>
      <c r="J739" s="11">
        <v>265000.0</v>
      </c>
      <c r="K739" s="21" t="s">
        <v>25</v>
      </c>
      <c r="L739" s="25">
        <v>43790.0</v>
      </c>
      <c r="M739" s="31" t="s">
        <v>2541</v>
      </c>
      <c r="N739" s="21"/>
      <c r="O739" s="15">
        <f t="shared" si="1"/>
        <v>2019</v>
      </c>
      <c r="P739" s="16" t="str">
        <f t="shared" si="2"/>
        <v>USD</v>
      </c>
      <c r="Q739" s="15">
        <f>IFERROR(__xludf.DUMMYFUNCTION("IFNA(INDEX(GOOGLEFINANCE(""Currency:USD""&amp;$P739,""price"",DATE(YEAR($L739),MONTH($L739),DAY($L739))),2,2),LOOKUP(P739,CurrencyCodes,UnitsPerUSD))"),1.0)</f>
        <v>1</v>
      </c>
      <c r="R739" s="17">
        <f t="shared" si="3"/>
        <v>265000</v>
      </c>
    </row>
    <row r="740">
      <c r="A740" s="7">
        <v>44005.35598604167</v>
      </c>
      <c r="B740" s="18" t="s">
        <v>18</v>
      </c>
      <c r="C740" s="19">
        <v>1443.0</v>
      </c>
      <c r="D740" s="18" t="s">
        <v>2542</v>
      </c>
      <c r="E740" s="18" t="s">
        <v>2540</v>
      </c>
      <c r="F740" s="18" t="s">
        <v>2440</v>
      </c>
      <c r="G740" s="19">
        <v>45408.0</v>
      </c>
      <c r="H740" s="21" t="s">
        <v>1173</v>
      </c>
      <c r="I740" s="21" t="s">
        <v>39</v>
      </c>
      <c r="J740" s="11">
        <v>0.0</v>
      </c>
      <c r="K740" s="27" t="s">
        <v>25</v>
      </c>
      <c r="L740" s="22"/>
      <c r="M740" s="21"/>
      <c r="N740" s="27" t="s">
        <v>2543</v>
      </c>
      <c r="O740" s="15" t="str">
        <f t="shared" si="1"/>
        <v>Unknown</v>
      </c>
      <c r="P740" s="16" t="str">
        <f t="shared" si="2"/>
        <v>USD</v>
      </c>
      <c r="Q740" s="15">
        <f>IFERROR(__xludf.DUMMYFUNCTION("IFNA(INDEX(GOOGLEFINANCE(""Currency:USD""&amp;$P740,""price"",DATE(YEAR($L740),MONTH($L740),DAY($L740))),2,2),LOOKUP(P740,CurrencyCodes,UnitsPerUSD))"),1.0)</f>
        <v>1</v>
      </c>
      <c r="R740" s="17">
        <f t="shared" si="3"/>
        <v>0</v>
      </c>
    </row>
    <row r="741">
      <c r="A741" s="7">
        <v>44064.19379497685</v>
      </c>
      <c r="B741" s="8" t="s">
        <v>18</v>
      </c>
      <c r="C741" s="9">
        <v>1757.0</v>
      </c>
      <c r="D741" s="8" t="s">
        <v>2544</v>
      </c>
      <c r="E741" s="8" t="s">
        <v>2545</v>
      </c>
      <c r="F741" s="8" t="s">
        <v>2440</v>
      </c>
      <c r="G741" s="9">
        <v>43512.0</v>
      </c>
      <c r="H741" s="10" t="s">
        <v>1173</v>
      </c>
      <c r="I741" s="10" t="s">
        <v>39</v>
      </c>
      <c r="J741" s="11">
        <v>169900.0</v>
      </c>
      <c r="K741" s="10" t="s">
        <v>25</v>
      </c>
      <c r="L741" s="25">
        <v>39389.0</v>
      </c>
      <c r="M741" s="14" t="s">
        <v>2546</v>
      </c>
      <c r="N741" s="10"/>
      <c r="O741" s="15">
        <f t="shared" si="1"/>
        <v>2007</v>
      </c>
      <c r="P741" s="16" t="str">
        <f t="shared" si="2"/>
        <v>USD</v>
      </c>
      <c r="Q741" s="15">
        <f>IFERROR(__xludf.DUMMYFUNCTION("IFNA(INDEX(GOOGLEFINANCE(""Currency:USD""&amp;$P741,""price"",DATE(YEAR($L741),MONTH($L741),DAY($L741))),2,2),LOOKUP(P741,CurrencyCodes,UnitsPerUSD))"),1.0)</f>
        <v>1</v>
      </c>
      <c r="R741" s="17">
        <f t="shared" si="3"/>
        <v>169900</v>
      </c>
    </row>
    <row r="742">
      <c r="A742" s="7">
        <v>44064.19862909723</v>
      </c>
      <c r="B742" s="8" t="s">
        <v>18</v>
      </c>
      <c r="C742" s="9">
        <v>380.0</v>
      </c>
      <c r="D742" s="8" t="s">
        <v>2547</v>
      </c>
      <c r="E742" s="8" t="s">
        <v>2548</v>
      </c>
      <c r="F742" s="8" t="s">
        <v>2440</v>
      </c>
      <c r="G742" s="9">
        <v>43015.0</v>
      </c>
      <c r="H742" s="10" t="s">
        <v>1173</v>
      </c>
      <c r="I742" s="10" t="s">
        <v>39</v>
      </c>
      <c r="J742" s="11">
        <v>0.0</v>
      </c>
      <c r="K742" s="10" t="s">
        <v>25</v>
      </c>
      <c r="L742" s="25">
        <v>39303.0</v>
      </c>
      <c r="M742" s="28" t="s">
        <v>2546</v>
      </c>
      <c r="N742" s="12" t="s">
        <v>2549</v>
      </c>
      <c r="O742" s="15">
        <f t="shared" si="1"/>
        <v>2007</v>
      </c>
      <c r="P742" s="16" t="str">
        <f t="shared" si="2"/>
        <v>USD</v>
      </c>
      <c r="Q742" s="15">
        <f>IFERROR(__xludf.DUMMYFUNCTION("IFNA(INDEX(GOOGLEFINANCE(""Currency:USD""&amp;$P742,""price"",DATE(YEAR($L742),MONTH($L742),DAY($L742))),2,2),LOOKUP(P742,CurrencyCodes,UnitsPerUSD))"),1.0)</f>
        <v>1</v>
      </c>
      <c r="R742" s="17">
        <f t="shared" si="3"/>
        <v>0</v>
      </c>
    </row>
    <row r="743">
      <c r="A743" s="7">
        <v>44005.367222754634</v>
      </c>
      <c r="B743" s="18" t="s">
        <v>18</v>
      </c>
      <c r="C743" s="9">
        <v>191.0</v>
      </c>
      <c r="D743" s="18" t="s">
        <v>2550</v>
      </c>
      <c r="E743" s="18" t="s">
        <v>2551</v>
      </c>
      <c r="F743" s="18" t="s">
        <v>2440</v>
      </c>
      <c r="G743" s="19">
        <v>44413.0</v>
      </c>
      <c r="H743" s="21" t="s">
        <v>1173</v>
      </c>
      <c r="I743" s="21" t="s">
        <v>39</v>
      </c>
      <c r="J743" s="11">
        <v>0.0</v>
      </c>
      <c r="K743" s="27" t="s">
        <v>25</v>
      </c>
      <c r="L743" s="22"/>
      <c r="M743" s="10"/>
      <c r="N743" s="21" t="s">
        <v>2552</v>
      </c>
      <c r="O743" s="15" t="str">
        <f t="shared" si="1"/>
        <v>Unknown</v>
      </c>
      <c r="P743" s="16" t="str">
        <f t="shared" si="2"/>
        <v>USD</v>
      </c>
      <c r="Q743" s="15">
        <f>IFERROR(__xludf.DUMMYFUNCTION("IFNA(INDEX(GOOGLEFINANCE(""Currency:USD""&amp;$P743,""price"",DATE(YEAR($L743),MONTH($L743),DAY($L743))),2,2),LOOKUP(P743,CurrencyCodes,UnitsPerUSD))"),1.0)</f>
        <v>1</v>
      </c>
      <c r="R743" s="17">
        <f t="shared" si="3"/>
        <v>0</v>
      </c>
    </row>
    <row r="744">
      <c r="A744" s="7">
        <v>44005.36946702546</v>
      </c>
      <c r="B744" s="18" t="s">
        <v>18</v>
      </c>
      <c r="C744" s="19">
        <v>19550.0</v>
      </c>
      <c r="D744" s="18" t="s">
        <v>2553</v>
      </c>
      <c r="E744" s="18" t="s">
        <v>2554</v>
      </c>
      <c r="F744" s="18" t="s">
        <v>2440</v>
      </c>
      <c r="G744" s="19">
        <v>43416.0</v>
      </c>
      <c r="H744" s="21" t="s">
        <v>1173</v>
      </c>
      <c r="I744" s="21" t="s">
        <v>39</v>
      </c>
      <c r="J744" s="11">
        <v>0.0</v>
      </c>
      <c r="K744" s="27" t="s">
        <v>25</v>
      </c>
      <c r="L744" s="22"/>
      <c r="M744" s="21"/>
      <c r="N744" s="21" t="s">
        <v>2555</v>
      </c>
      <c r="O744" s="15" t="str">
        <f t="shared" si="1"/>
        <v>Unknown</v>
      </c>
      <c r="P744" s="16" t="str">
        <f t="shared" si="2"/>
        <v>USD</v>
      </c>
      <c r="Q744" s="15">
        <f>IFERROR(__xludf.DUMMYFUNCTION("IFNA(INDEX(GOOGLEFINANCE(""Currency:USD""&amp;$P744,""price"",DATE(YEAR($L744),MONTH($L744),DAY($L744))),2,2),LOOKUP(P744,CurrencyCodes,UnitsPerUSD))"),1.0)</f>
        <v>1</v>
      </c>
      <c r="R744" s="17">
        <f t="shared" si="3"/>
        <v>0</v>
      </c>
    </row>
    <row r="745">
      <c r="A745" s="7">
        <v>44064.20073059028</v>
      </c>
      <c r="B745" s="8" t="s">
        <v>18</v>
      </c>
      <c r="C745" s="9">
        <v>44715.0</v>
      </c>
      <c r="D745" s="8" t="s">
        <v>2556</v>
      </c>
      <c r="E745" s="8" t="s">
        <v>2557</v>
      </c>
      <c r="F745" s="8" t="s">
        <v>2440</v>
      </c>
      <c r="G745" s="9">
        <v>44035.0</v>
      </c>
      <c r="H745" s="10" t="s">
        <v>1173</v>
      </c>
      <c r="I745" s="10" t="s">
        <v>39</v>
      </c>
      <c r="J745" s="11">
        <v>170000.0</v>
      </c>
      <c r="K745" s="10" t="s">
        <v>25</v>
      </c>
      <c r="L745" s="25">
        <v>43684.0</v>
      </c>
      <c r="M745" s="28" t="s">
        <v>2558</v>
      </c>
      <c r="N745" s="10" t="s">
        <v>2559</v>
      </c>
      <c r="O745" s="15">
        <f t="shared" si="1"/>
        <v>2019</v>
      </c>
      <c r="P745" s="16" t="str">
        <f t="shared" si="2"/>
        <v>USD</v>
      </c>
      <c r="Q745" s="15">
        <f>IFERROR(__xludf.DUMMYFUNCTION("IFNA(INDEX(GOOGLEFINANCE(""Currency:USD""&amp;$P745,""price"",DATE(YEAR($L745),MONTH($L745),DAY($L745))),2,2),LOOKUP(P745,CurrencyCodes,UnitsPerUSD))"),1.0)</f>
        <v>1</v>
      </c>
      <c r="R745" s="17">
        <f t="shared" si="3"/>
        <v>170000</v>
      </c>
    </row>
    <row r="746">
      <c r="A746" s="7">
        <v>43925.36964954861</v>
      </c>
      <c r="B746" s="18" t="s">
        <v>18</v>
      </c>
      <c r="C746" s="19">
        <v>533.0</v>
      </c>
      <c r="D746" s="18" t="s">
        <v>2560</v>
      </c>
      <c r="E746" s="18" t="s">
        <v>2561</v>
      </c>
      <c r="F746" s="18" t="s">
        <v>2440</v>
      </c>
      <c r="G746" s="9">
        <v>44830.0</v>
      </c>
      <c r="H746" s="21" t="s">
        <v>1173</v>
      </c>
      <c r="I746" s="21" t="s">
        <v>39</v>
      </c>
      <c r="J746" s="11">
        <v>175000.0</v>
      </c>
      <c r="K746" s="21" t="s">
        <v>25</v>
      </c>
      <c r="L746" s="25">
        <v>43132.0</v>
      </c>
      <c r="M746" s="31" t="s">
        <v>2562</v>
      </c>
      <c r="N746" s="21"/>
      <c r="O746" s="15">
        <f t="shared" si="1"/>
        <v>2018</v>
      </c>
      <c r="P746" s="16" t="str">
        <f t="shared" si="2"/>
        <v>USD</v>
      </c>
      <c r="Q746" s="15">
        <f>IFERROR(__xludf.DUMMYFUNCTION("IFNA(INDEX(GOOGLEFINANCE(""Currency:USD""&amp;$P746,""price"",DATE(YEAR($L746),MONTH($L746),DAY($L746))),2,2),LOOKUP(P746,CurrencyCodes,UnitsPerUSD))"),1.0)</f>
        <v>1</v>
      </c>
      <c r="R746" s="17">
        <f t="shared" si="3"/>
        <v>175000</v>
      </c>
    </row>
    <row r="747">
      <c r="A747" s="7">
        <v>44005.37254136574</v>
      </c>
      <c r="B747" s="18" t="s">
        <v>18</v>
      </c>
      <c r="C747" s="19">
        <v>6124.0</v>
      </c>
      <c r="D747" s="18" t="s">
        <v>2563</v>
      </c>
      <c r="E747" s="18" t="s">
        <v>2564</v>
      </c>
      <c r="F747" s="18" t="s">
        <v>2440</v>
      </c>
      <c r="G747" s="19">
        <v>44833.0</v>
      </c>
      <c r="H747" s="21" t="s">
        <v>1173</v>
      </c>
      <c r="I747" s="21" t="s">
        <v>39</v>
      </c>
      <c r="J747" s="11">
        <v>0.0</v>
      </c>
      <c r="K747" s="27" t="s">
        <v>25</v>
      </c>
      <c r="L747" s="22"/>
      <c r="M747" s="21"/>
      <c r="N747" s="27" t="s">
        <v>2565</v>
      </c>
      <c r="O747" s="15" t="str">
        <f t="shared" si="1"/>
        <v>Unknown</v>
      </c>
      <c r="P747" s="16" t="str">
        <f t="shared" si="2"/>
        <v>USD</v>
      </c>
      <c r="Q747" s="15">
        <f>IFERROR(__xludf.DUMMYFUNCTION("IFNA(INDEX(GOOGLEFINANCE(""Currency:USD""&amp;$P747,""price"",DATE(YEAR($L747),MONTH($L747),DAY($L747))),2,2),LOOKUP(P747,CurrencyCodes,UnitsPerUSD))"),1.0)</f>
        <v>1</v>
      </c>
      <c r="R747" s="17">
        <f t="shared" si="3"/>
        <v>0</v>
      </c>
    </row>
    <row r="748">
      <c r="A748" s="7">
        <v>44064.204282245366</v>
      </c>
      <c r="B748" s="8" t="s">
        <v>18</v>
      </c>
      <c r="C748" s="9">
        <v>1350.0</v>
      </c>
      <c r="D748" s="8" t="s">
        <v>2566</v>
      </c>
      <c r="E748" s="8" t="s">
        <v>2567</v>
      </c>
      <c r="F748" s="8" t="s">
        <v>2440</v>
      </c>
      <c r="G748" s="9">
        <v>44420.0</v>
      </c>
      <c r="H748" s="10" t="s">
        <v>1173</v>
      </c>
      <c r="I748" s="10" t="s">
        <v>39</v>
      </c>
      <c r="J748" s="11">
        <v>165000.0</v>
      </c>
      <c r="K748" s="10" t="s">
        <v>25</v>
      </c>
      <c r="L748" s="25">
        <v>39777.0</v>
      </c>
      <c r="M748" s="28" t="s">
        <v>2568</v>
      </c>
      <c r="N748" s="12" t="s">
        <v>2569</v>
      </c>
      <c r="O748" s="15">
        <f t="shared" si="1"/>
        <v>2008</v>
      </c>
      <c r="P748" s="16" t="str">
        <f t="shared" si="2"/>
        <v>USD</v>
      </c>
      <c r="Q748" s="15">
        <f>IFERROR(__xludf.DUMMYFUNCTION("IFNA(INDEX(GOOGLEFINANCE(""Currency:USD""&amp;$P748,""price"",DATE(YEAR($L748),MONTH($L748),DAY($L748))),2,2),LOOKUP(P748,CurrencyCodes,UnitsPerUSD))"),1.0)</f>
        <v>1</v>
      </c>
      <c r="R748" s="17">
        <f t="shared" si="3"/>
        <v>165000</v>
      </c>
    </row>
    <row r="749">
      <c r="A749" s="7">
        <v>43918.5565770949</v>
      </c>
      <c r="B749" s="18" t="s">
        <v>18</v>
      </c>
      <c r="C749" s="19">
        <v>5629.0</v>
      </c>
      <c r="D749" s="18" t="s">
        <v>2570</v>
      </c>
      <c r="E749" s="18" t="s">
        <v>2571</v>
      </c>
      <c r="F749" s="8" t="s">
        <v>2440</v>
      </c>
      <c r="G749" s="19">
        <v>45248.0</v>
      </c>
      <c r="H749" s="21" t="s">
        <v>1173</v>
      </c>
      <c r="I749" s="21" t="s">
        <v>39</v>
      </c>
      <c r="J749" s="11">
        <v>410000.0</v>
      </c>
      <c r="K749" s="21" t="s">
        <v>25</v>
      </c>
      <c r="L749" s="25">
        <v>43584.0</v>
      </c>
      <c r="M749" s="14" t="s">
        <v>2572</v>
      </c>
      <c r="N749" s="21"/>
      <c r="O749" s="15">
        <f t="shared" si="1"/>
        <v>2019</v>
      </c>
      <c r="P749" s="16" t="str">
        <f t="shared" si="2"/>
        <v>USD</v>
      </c>
      <c r="Q749" s="15">
        <f>IFERROR(__xludf.DUMMYFUNCTION("IFNA(INDEX(GOOGLEFINANCE(""Currency:USD""&amp;$P749,""price"",DATE(YEAR($L749),MONTH($L749),DAY($L749))),2,2),LOOKUP(P749,CurrencyCodes,UnitsPerUSD))"),1.0)</f>
        <v>1</v>
      </c>
      <c r="R749" s="17">
        <f t="shared" si="3"/>
        <v>410000</v>
      </c>
    </row>
    <row r="750">
      <c r="A750" s="7">
        <v>44005.377289502314</v>
      </c>
      <c r="B750" s="18" t="s">
        <v>18</v>
      </c>
      <c r="C750" s="19">
        <v>4371.0</v>
      </c>
      <c r="D750" s="18" t="s">
        <v>2573</v>
      </c>
      <c r="E750" s="18" t="s">
        <v>2574</v>
      </c>
      <c r="F750" s="18" t="s">
        <v>2440</v>
      </c>
      <c r="G750" s="19">
        <v>43123.0</v>
      </c>
      <c r="H750" s="21" t="s">
        <v>1173</v>
      </c>
      <c r="I750" s="21" t="s">
        <v>39</v>
      </c>
      <c r="J750" s="11">
        <v>399000.0</v>
      </c>
      <c r="K750" s="21" t="s">
        <v>25</v>
      </c>
      <c r="L750" s="25">
        <v>43364.0</v>
      </c>
      <c r="M750" s="24" t="s">
        <v>2575</v>
      </c>
      <c r="N750" s="27" t="s">
        <v>2576</v>
      </c>
      <c r="O750" s="15">
        <f t="shared" si="1"/>
        <v>2018</v>
      </c>
      <c r="P750" s="16" t="str">
        <f t="shared" si="2"/>
        <v>USD</v>
      </c>
      <c r="Q750" s="15">
        <f>IFERROR(__xludf.DUMMYFUNCTION("IFNA(INDEX(GOOGLEFINANCE(""Currency:USD""&amp;$P750,""price"",DATE(YEAR($L750),MONTH($L750),DAY($L750))),2,2),LOOKUP(P750,CurrencyCodes,UnitsPerUSD))"),1.0)</f>
        <v>1</v>
      </c>
      <c r="R750" s="17">
        <f t="shared" si="3"/>
        <v>399000</v>
      </c>
    </row>
    <row r="751">
      <c r="A751" s="7">
        <v>44064.24486528935</v>
      </c>
      <c r="B751" s="8" t="s">
        <v>18</v>
      </c>
      <c r="C751" s="9">
        <v>534.0</v>
      </c>
      <c r="D751" s="8" t="s">
        <v>2577</v>
      </c>
      <c r="E751" s="8" t="s">
        <v>2578</v>
      </c>
      <c r="F751" s="26" t="s">
        <v>2440</v>
      </c>
      <c r="G751" s="9">
        <v>45013.0</v>
      </c>
      <c r="H751" s="10" t="s">
        <v>1173</v>
      </c>
      <c r="I751" s="10" t="s">
        <v>39</v>
      </c>
      <c r="J751" s="11">
        <v>175000.0</v>
      </c>
      <c r="K751" s="10" t="s">
        <v>25</v>
      </c>
      <c r="L751" s="25">
        <v>38756.0</v>
      </c>
      <c r="M751" s="28" t="s">
        <v>2579</v>
      </c>
      <c r="N751" s="12" t="s">
        <v>2580</v>
      </c>
      <c r="O751" s="15">
        <f t="shared" si="1"/>
        <v>2006</v>
      </c>
      <c r="P751" s="16" t="str">
        <f t="shared" si="2"/>
        <v>USD</v>
      </c>
      <c r="Q751" s="15">
        <f>IFERROR(__xludf.DUMMYFUNCTION("IFNA(INDEX(GOOGLEFINANCE(""Currency:USD""&amp;$P751,""price"",DATE(YEAR($L751),MONTH($L751),DAY($L751))),2,2),LOOKUP(P751,CurrencyCodes,UnitsPerUSD))"),1.0)</f>
        <v>1</v>
      </c>
      <c r="R751" s="17">
        <f t="shared" si="3"/>
        <v>175000</v>
      </c>
    </row>
    <row r="752">
      <c r="A752" s="7">
        <v>44064.253057800925</v>
      </c>
      <c r="B752" s="8" t="s">
        <v>18</v>
      </c>
      <c r="C752" s="9">
        <v>1051.0</v>
      </c>
      <c r="D752" s="8" t="s">
        <v>2581</v>
      </c>
      <c r="E752" s="8" t="s">
        <v>2582</v>
      </c>
      <c r="F752" s="8" t="s">
        <v>2440</v>
      </c>
      <c r="G752" s="9">
        <v>43130.0</v>
      </c>
      <c r="H752" s="10" t="s">
        <v>1173</v>
      </c>
      <c r="I752" s="10" t="s">
        <v>39</v>
      </c>
      <c r="J752" s="11">
        <v>205000.0</v>
      </c>
      <c r="K752" s="10" t="s">
        <v>25</v>
      </c>
      <c r="L752" s="25">
        <v>43480.0</v>
      </c>
      <c r="M752" s="14" t="s">
        <v>2583</v>
      </c>
      <c r="N752" s="10"/>
      <c r="O752" s="15">
        <f t="shared" si="1"/>
        <v>2019</v>
      </c>
      <c r="P752" s="16" t="str">
        <f t="shared" si="2"/>
        <v>USD</v>
      </c>
      <c r="Q752" s="15">
        <f>IFERROR(__xludf.DUMMYFUNCTION("IFNA(INDEX(GOOGLEFINANCE(""Currency:USD""&amp;$P752,""price"",DATE(YEAR($L752),MONTH($L752),DAY($L752))),2,2),LOOKUP(P752,CurrencyCodes,UnitsPerUSD))"),1.0)</f>
        <v>1</v>
      </c>
      <c r="R752" s="17">
        <f t="shared" si="3"/>
        <v>205000</v>
      </c>
    </row>
    <row r="753">
      <c r="A753" s="7">
        <v>44005.387192685186</v>
      </c>
      <c r="B753" s="18" t="s">
        <v>18</v>
      </c>
      <c r="C753" s="9">
        <v>4030.0</v>
      </c>
      <c r="D753" s="18" t="s">
        <v>2584</v>
      </c>
      <c r="E753" s="18" t="s">
        <v>2585</v>
      </c>
      <c r="F753" s="8" t="s">
        <v>2440</v>
      </c>
      <c r="G753" s="19">
        <v>45807.0</v>
      </c>
      <c r="H753" s="21" t="s">
        <v>1173</v>
      </c>
      <c r="I753" s="21" t="s">
        <v>39</v>
      </c>
      <c r="J753" s="11">
        <v>163000.0</v>
      </c>
      <c r="K753" s="21" t="s">
        <v>25</v>
      </c>
      <c r="L753" s="25">
        <v>41447.0</v>
      </c>
      <c r="M753" s="24" t="s">
        <v>2586</v>
      </c>
      <c r="N753" s="10" t="s">
        <v>2587</v>
      </c>
      <c r="O753" s="15">
        <f t="shared" si="1"/>
        <v>2013</v>
      </c>
      <c r="P753" s="16" t="str">
        <f t="shared" si="2"/>
        <v>USD</v>
      </c>
      <c r="Q753" s="15">
        <f>IFERROR(__xludf.DUMMYFUNCTION("IFNA(INDEX(GOOGLEFINANCE(""Currency:USD""&amp;$P753,""price"",DATE(YEAR($L753),MONTH($L753),DAY($L753))),2,2),LOOKUP(P753,CurrencyCodes,UnitsPerUSD))"),1.0)</f>
        <v>1</v>
      </c>
      <c r="R753" s="17">
        <f t="shared" si="3"/>
        <v>163000</v>
      </c>
    </row>
    <row r="754">
      <c r="A754" s="7">
        <v>44064.27516709491</v>
      </c>
      <c r="B754" s="8" t="s">
        <v>18</v>
      </c>
      <c r="C754" s="9">
        <v>1401.0</v>
      </c>
      <c r="D754" s="8" t="s">
        <v>2588</v>
      </c>
      <c r="E754" s="8" t="s">
        <v>2585</v>
      </c>
      <c r="F754" s="8" t="s">
        <v>2440</v>
      </c>
      <c r="G754" s="9">
        <v>45804.0</v>
      </c>
      <c r="H754" s="10" t="s">
        <v>1173</v>
      </c>
      <c r="I754" s="10" t="s">
        <v>39</v>
      </c>
      <c r="J754" s="11">
        <v>80000.0</v>
      </c>
      <c r="K754" s="10" t="s">
        <v>25</v>
      </c>
      <c r="L754" s="25">
        <v>42978.0</v>
      </c>
      <c r="M754" s="28" t="s">
        <v>2589</v>
      </c>
      <c r="N754" s="10" t="s">
        <v>2590</v>
      </c>
      <c r="O754" s="15">
        <f t="shared" si="1"/>
        <v>2017</v>
      </c>
      <c r="P754" s="16" t="str">
        <f t="shared" si="2"/>
        <v>USD</v>
      </c>
      <c r="Q754" s="15">
        <f>IFERROR(__xludf.DUMMYFUNCTION("IFNA(INDEX(GOOGLEFINANCE(""Currency:USD""&amp;$P754,""price"",DATE(YEAR($L754),MONTH($L754),DAY($L754))),2,2),LOOKUP(P754,CurrencyCodes,UnitsPerUSD))"),1.0)</f>
        <v>1</v>
      </c>
      <c r="R754" s="17">
        <f t="shared" si="3"/>
        <v>80000</v>
      </c>
    </row>
    <row r="755">
      <c r="A755" s="7">
        <v>44005.38935909722</v>
      </c>
      <c r="B755" s="18" t="s">
        <v>18</v>
      </c>
      <c r="C755" s="19">
        <v>2340.0</v>
      </c>
      <c r="D755" s="18" t="s">
        <v>2591</v>
      </c>
      <c r="E755" s="18" t="s">
        <v>2592</v>
      </c>
      <c r="F755" s="18" t="s">
        <v>2440</v>
      </c>
      <c r="G755" s="19">
        <v>44052.0</v>
      </c>
      <c r="H755" s="21" t="s">
        <v>1173</v>
      </c>
      <c r="I755" s="21" t="s">
        <v>39</v>
      </c>
      <c r="J755" s="11">
        <v>193000.0</v>
      </c>
      <c r="K755" s="21" t="s">
        <v>25</v>
      </c>
      <c r="L755" s="25">
        <v>43555.0</v>
      </c>
      <c r="M755" s="31" t="s">
        <v>2593</v>
      </c>
      <c r="N755" s="21"/>
      <c r="O755" s="15">
        <f t="shared" si="1"/>
        <v>2019</v>
      </c>
      <c r="P755" s="16" t="str">
        <f t="shared" si="2"/>
        <v>USD</v>
      </c>
      <c r="Q755" s="15">
        <f>IFERROR(__xludf.DUMMYFUNCTION("IFNA(INDEX(GOOGLEFINANCE(""Currency:USD""&amp;$P755,""price"",DATE(YEAR($L755),MONTH($L755),DAY($L755))),2,2),LOOKUP(P755,CurrencyCodes,UnitsPerUSD))"),1.0)</f>
        <v>1</v>
      </c>
      <c r="R755" s="17">
        <f t="shared" si="3"/>
        <v>193000</v>
      </c>
    </row>
    <row r="756">
      <c r="A756" s="7">
        <v>44064.28801690972</v>
      </c>
      <c r="B756" s="8" t="s">
        <v>18</v>
      </c>
      <c r="C756" s="9">
        <v>916.0</v>
      </c>
      <c r="D756" s="8" t="s">
        <v>2594</v>
      </c>
      <c r="E756" s="8" t="s">
        <v>2595</v>
      </c>
      <c r="F756" s="8" t="s">
        <v>2440</v>
      </c>
      <c r="G756" s="9">
        <v>44842.0</v>
      </c>
      <c r="H756" s="10" t="s">
        <v>1173</v>
      </c>
      <c r="I756" s="10" t="s">
        <v>39</v>
      </c>
      <c r="J756" s="11">
        <v>89900.0</v>
      </c>
      <c r="K756" s="10" t="s">
        <v>25</v>
      </c>
      <c r="L756" s="25">
        <v>43021.0</v>
      </c>
      <c r="M756" s="28" t="s">
        <v>2596</v>
      </c>
      <c r="N756" s="10" t="s">
        <v>1535</v>
      </c>
      <c r="O756" s="15">
        <f t="shared" si="1"/>
        <v>2017</v>
      </c>
      <c r="P756" s="16" t="str">
        <f t="shared" si="2"/>
        <v>USD</v>
      </c>
      <c r="Q756" s="15">
        <f>IFERROR(__xludf.DUMMYFUNCTION("IFNA(INDEX(GOOGLEFINANCE(""Currency:USD""&amp;$P756,""price"",DATE(YEAR($L756),MONTH($L756),DAY($L756))),2,2),LOOKUP(P756,CurrencyCodes,UnitsPerUSD))"),1.0)</f>
        <v>1</v>
      </c>
      <c r="R756" s="17">
        <f t="shared" si="3"/>
        <v>89900</v>
      </c>
    </row>
    <row r="757">
      <c r="A757" s="7">
        <v>44064.29359534722</v>
      </c>
      <c r="B757" s="8" t="s">
        <v>18</v>
      </c>
      <c r="C757" s="9">
        <v>4446.0</v>
      </c>
      <c r="D757" s="8" t="s">
        <v>2597</v>
      </c>
      <c r="E757" s="8" t="s">
        <v>1588</v>
      </c>
      <c r="F757" s="8" t="s">
        <v>2440</v>
      </c>
      <c r="G757" s="9">
        <v>44641.0</v>
      </c>
      <c r="H757" s="10" t="s">
        <v>1173</v>
      </c>
      <c r="I757" s="10" t="s">
        <v>39</v>
      </c>
      <c r="J757" s="11">
        <v>65800.0</v>
      </c>
      <c r="K757" s="10" t="s">
        <v>25</v>
      </c>
      <c r="L757" s="25">
        <v>40750.0</v>
      </c>
      <c r="M757" s="28" t="s">
        <v>2598</v>
      </c>
      <c r="N757" s="12" t="s">
        <v>2599</v>
      </c>
      <c r="O757" s="15">
        <f t="shared" si="1"/>
        <v>2011</v>
      </c>
      <c r="P757" s="16" t="str">
        <f t="shared" si="2"/>
        <v>USD</v>
      </c>
      <c r="Q757" s="15">
        <f>IFERROR(__xludf.DUMMYFUNCTION("IFNA(INDEX(GOOGLEFINANCE(""Currency:USD""&amp;$P757,""price"",DATE(YEAR($L757),MONTH($L757),DAY($L757))),2,2),LOOKUP(P757,CurrencyCodes,UnitsPerUSD))"),1.0)</f>
        <v>1</v>
      </c>
      <c r="R757" s="17">
        <f t="shared" si="3"/>
        <v>65800</v>
      </c>
    </row>
    <row r="758">
      <c r="A758" s="7">
        <v>44005.94007142361</v>
      </c>
      <c r="B758" s="18" t="s">
        <v>18</v>
      </c>
      <c r="C758" s="19">
        <v>1650.0</v>
      </c>
      <c r="D758" s="18" t="s">
        <v>2444</v>
      </c>
      <c r="E758" s="18" t="s">
        <v>2600</v>
      </c>
      <c r="F758" s="18" t="s">
        <v>2440</v>
      </c>
      <c r="G758" s="19">
        <v>44907.0</v>
      </c>
      <c r="H758" s="21" t="s">
        <v>1173</v>
      </c>
      <c r="I758" s="21" t="s">
        <v>39</v>
      </c>
      <c r="J758" s="11">
        <v>155000.0</v>
      </c>
      <c r="K758" s="21" t="s">
        <v>25</v>
      </c>
      <c r="L758" s="25">
        <v>43524.0</v>
      </c>
      <c r="M758" s="24" t="s">
        <v>2601</v>
      </c>
      <c r="N758" s="21" t="s">
        <v>2602</v>
      </c>
      <c r="O758" s="15">
        <f t="shared" si="1"/>
        <v>2019</v>
      </c>
      <c r="P758" s="16" t="str">
        <f t="shared" si="2"/>
        <v>USD</v>
      </c>
      <c r="Q758" s="15">
        <f>IFERROR(__xludf.DUMMYFUNCTION("IFNA(INDEX(GOOGLEFINANCE(""Currency:USD""&amp;$P758,""price"",DATE(YEAR($L758),MONTH($L758),DAY($L758))),2,2),LOOKUP(P758,CurrencyCodes,UnitsPerUSD))"),1.0)</f>
        <v>1</v>
      </c>
      <c r="R758" s="17">
        <f t="shared" si="3"/>
        <v>155000</v>
      </c>
    </row>
    <row r="759">
      <c r="A759" s="7">
        <v>43912.50663795139</v>
      </c>
      <c r="B759" s="18" t="s">
        <v>18</v>
      </c>
      <c r="C759" s="9">
        <v>2177.0</v>
      </c>
      <c r="D759" s="18" t="s">
        <v>2603</v>
      </c>
      <c r="E759" s="18" t="s">
        <v>2604</v>
      </c>
      <c r="F759" s="8" t="s">
        <v>2440</v>
      </c>
      <c r="G759" s="19">
        <v>44646.0</v>
      </c>
      <c r="H759" s="21" t="s">
        <v>1173</v>
      </c>
      <c r="I759" s="21" t="s">
        <v>39</v>
      </c>
      <c r="J759" s="11">
        <v>285000.0</v>
      </c>
      <c r="K759" s="21" t="s">
        <v>25</v>
      </c>
      <c r="L759" s="25">
        <v>43293.0</v>
      </c>
      <c r="M759" s="24" t="s">
        <v>2605</v>
      </c>
      <c r="N759" s="12" t="s">
        <v>2606</v>
      </c>
      <c r="O759" s="15">
        <f t="shared" si="1"/>
        <v>2018</v>
      </c>
      <c r="P759" s="16" t="str">
        <f t="shared" si="2"/>
        <v>USD</v>
      </c>
      <c r="Q759" s="15">
        <f>IFERROR(__xludf.DUMMYFUNCTION("IFNA(INDEX(GOOGLEFINANCE(""Currency:USD""&amp;$P759,""price"",DATE(YEAR($L759),MONTH($L759),DAY($L759))),2,2),LOOKUP(P759,CurrencyCodes,UnitsPerUSD))"),1.0)</f>
        <v>1</v>
      </c>
      <c r="R759" s="17">
        <f t="shared" si="3"/>
        <v>285000</v>
      </c>
    </row>
    <row r="760">
      <c r="A760" s="7">
        <v>43912.51972373843</v>
      </c>
      <c r="B760" s="18" t="s">
        <v>18</v>
      </c>
      <c r="C760" s="9">
        <v>7490.0</v>
      </c>
      <c r="D760" s="18" t="s">
        <v>2607</v>
      </c>
      <c r="E760" s="18" t="s">
        <v>2608</v>
      </c>
      <c r="F760" s="8" t="s">
        <v>2440</v>
      </c>
      <c r="G760" s="9">
        <v>44256.0</v>
      </c>
      <c r="H760" s="21" t="s">
        <v>1173</v>
      </c>
      <c r="I760" s="21" t="s">
        <v>39</v>
      </c>
      <c r="J760" s="11">
        <v>89250.0</v>
      </c>
      <c r="K760" s="21" t="s">
        <v>25</v>
      </c>
      <c r="L760" s="25">
        <v>43193.0</v>
      </c>
      <c r="M760" s="24" t="s">
        <v>2609</v>
      </c>
      <c r="N760" s="27" t="s">
        <v>2610</v>
      </c>
      <c r="O760" s="15">
        <f t="shared" si="1"/>
        <v>2018</v>
      </c>
      <c r="P760" s="16" t="str">
        <f t="shared" si="2"/>
        <v>USD</v>
      </c>
      <c r="Q760" s="15">
        <f>IFERROR(__xludf.DUMMYFUNCTION("IFNA(INDEX(GOOGLEFINANCE(""Currency:USD""&amp;$P760,""price"",DATE(YEAR($L760),MONTH($L760),DAY($L760))),2,2),LOOKUP(P760,CurrencyCodes,UnitsPerUSD))"),1.0)</f>
        <v>1</v>
      </c>
      <c r="R760" s="17">
        <f t="shared" si="3"/>
        <v>89250</v>
      </c>
    </row>
    <row r="761">
      <c r="A761" s="7">
        <v>44006.368554201385</v>
      </c>
      <c r="B761" s="18" t="s">
        <v>18</v>
      </c>
      <c r="C761" s="19">
        <v>9025.0</v>
      </c>
      <c r="D761" s="18" t="s">
        <v>2611</v>
      </c>
      <c r="E761" s="18" t="s">
        <v>2612</v>
      </c>
      <c r="F761" s="18" t="s">
        <v>2440</v>
      </c>
      <c r="G761" s="19">
        <v>45344.0</v>
      </c>
      <c r="H761" s="21" t="s">
        <v>1173</v>
      </c>
      <c r="I761" s="21" t="s">
        <v>39</v>
      </c>
      <c r="J761" s="11">
        <v>0.0</v>
      </c>
      <c r="K761" s="27" t="s">
        <v>25</v>
      </c>
      <c r="L761" s="22"/>
      <c r="M761" s="24" t="s">
        <v>2613</v>
      </c>
      <c r="N761" s="27" t="s">
        <v>2614</v>
      </c>
      <c r="O761" s="15" t="str">
        <f t="shared" si="1"/>
        <v>Unknown</v>
      </c>
      <c r="P761" s="16" t="str">
        <f t="shared" si="2"/>
        <v>USD</v>
      </c>
      <c r="Q761" s="15">
        <f>IFERROR(__xludf.DUMMYFUNCTION("IFNA(INDEX(GOOGLEFINANCE(""Currency:USD""&amp;$P761,""price"",DATE(YEAR($L761),MONTH($L761),DAY($L761))),2,2),LOOKUP(P761,CurrencyCodes,UnitsPerUSD))"),1.0)</f>
        <v>1</v>
      </c>
      <c r="R761" s="17">
        <f t="shared" si="3"/>
        <v>0</v>
      </c>
    </row>
    <row r="762">
      <c r="A762" s="7">
        <v>44005.955258692135</v>
      </c>
      <c r="B762" s="18" t="s">
        <v>18</v>
      </c>
      <c r="C762" s="19">
        <v>13323.0</v>
      </c>
      <c r="D762" s="18" t="s">
        <v>2615</v>
      </c>
      <c r="E762" s="18" t="s">
        <v>2616</v>
      </c>
      <c r="F762" s="18" t="s">
        <v>2440</v>
      </c>
      <c r="G762" s="19">
        <v>44443.0</v>
      </c>
      <c r="H762" s="21" t="s">
        <v>1173</v>
      </c>
      <c r="I762" s="21" t="s">
        <v>24</v>
      </c>
      <c r="J762" s="11">
        <v>219900.0</v>
      </c>
      <c r="K762" s="21" t="s">
        <v>25</v>
      </c>
      <c r="L762" s="25">
        <v>43572.0</v>
      </c>
      <c r="M762" s="31" t="s">
        <v>2617</v>
      </c>
      <c r="N762" s="21"/>
      <c r="O762" s="15">
        <f t="shared" si="1"/>
        <v>2019</v>
      </c>
      <c r="P762" s="16" t="str">
        <f t="shared" si="2"/>
        <v>USD</v>
      </c>
      <c r="Q762" s="15">
        <f>IFERROR(__xludf.DUMMYFUNCTION("IFNA(INDEX(GOOGLEFINANCE(""Currency:USD""&amp;$P762,""price"",DATE(YEAR($L762),MONTH($L762),DAY($L762))),2,2),LOOKUP(P762,CurrencyCodes,UnitsPerUSD))"),1.0)</f>
        <v>1</v>
      </c>
      <c r="R762" s="17">
        <f t="shared" si="3"/>
        <v>219900</v>
      </c>
    </row>
    <row r="763">
      <c r="A763" s="7">
        <v>44071.26310921296</v>
      </c>
      <c r="B763" s="8" t="s">
        <v>18</v>
      </c>
      <c r="C763" s="9">
        <v>35.0</v>
      </c>
      <c r="D763" s="8" t="s">
        <v>2618</v>
      </c>
      <c r="E763" s="8" t="s">
        <v>2619</v>
      </c>
      <c r="F763" s="8" t="s">
        <v>2440</v>
      </c>
      <c r="G763" s="9">
        <v>43055.0</v>
      </c>
      <c r="H763" s="10" t="s">
        <v>1173</v>
      </c>
      <c r="I763" s="10" t="s">
        <v>39</v>
      </c>
      <c r="J763" s="11">
        <v>150000.0</v>
      </c>
      <c r="K763" s="10" t="s">
        <v>25</v>
      </c>
      <c r="L763" s="25">
        <v>41226.0</v>
      </c>
      <c r="M763" s="14" t="s">
        <v>2620</v>
      </c>
      <c r="N763" s="10"/>
      <c r="O763" s="15">
        <f t="shared" si="1"/>
        <v>2012</v>
      </c>
      <c r="P763" s="16" t="str">
        <f t="shared" si="2"/>
        <v>USD</v>
      </c>
      <c r="Q763" s="15">
        <f>IFERROR(__xludf.DUMMYFUNCTION("IFNA(INDEX(GOOGLEFINANCE(""Currency:USD""&amp;$P763,""price"",DATE(YEAR($L763),MONTH($L763),DAY($L763))),2,2),LOOKUP(P763,CurrencyCodes,UnitsPerUSD))"),1.0)</f>
        <v>1</v>
      </c>
      <c r="R763" s="17">
        <f t="shared" si="3"/>
        <v>150000</v>
      </c>
    </row>
    <row r="764">
      <c r="A764" s="7">
        <v>44005.95767228009</v>
      </c>
      <c r="B764" s="18" t="s">
        <v>18</v>
      </c>
      <c r="C764" s="19">
        <v>1240.0</v>
      </c>
      <c r="D764" s="18" t="s">
        <v>2621</v>
      </c>
      <c r="E764" s="18" t="s">
        <v>2619</v>
      </c>
      <c r="F764" s="18" t="s">
        <v>2440</v>
      </c>
      <c r="G764" s="9">
        <v>43055.0</v>
      </c>
      <c r="H764" s="21" t="s">
        <v>1173</v>
      </c>
      <c r="I764" s="21" t="s">
        <v>39</v>
      </c>
      <c r="J764" s="11">
        <v>163000.0</v>
      </c>
      <c r="K764" s="21" t="s">
        <v>25</v>
      </c>
      <c r="L764" s="25">
        <v>41081.0</v>
      </c>
      <c r="M764" s="14" t="s">
        <v>2622</v>
      </c>
      <c r="N764" s="10"/>
      <c r="O764" s="15">
        <f t="shared" si="1"/>
        <v>2012</v>
      </c>
      <c r="P764" s="16" t="str">
        <f t="shared" si="2"/>
        <v>USD</v>
      </c>
      <c r="Q764" s="15">
        <f>IFERROR(__xludf.DUMMYFUNCTION("IFNA(INDEX(GOOGLEFINANCE(""Currency:USD""&amp;$P764,""price"",DATE(YEAR($L764),MONTH($L764),DAY($L764))),2,2),LOOKUP(P764,CurrencyCodes,UnitsPerUSD))"),1.0)</f>
        <v>1</v>
      </c>
      <c r="R764" s="17">
        <f t="shared" si="3"/>
        <v>163000</v>
      </c>
    </row>
    <row r="765">
      <c r="A765" s="7">
        <v>43915.760573472224</v>
      </c>
      <c r="B765" s="18" t="s">
        <v>18</v>
      </c>
      <c r="C765" s="9">
        <v>1745.0</v>
      </c>
      <c r="D765" s="18" t="s">
        <v>2623</v>
      </c>
      <c r="E765" s="18" t="s">
        <v>233</v>
      </c>
      <c r="F765" s="8" t="s">
        <v>2440</v>
      </c>
      <c r="G765" s="9">
        <v>44906.0</v>
      </c>
      <c r="H765" s="21" t="s">
        <v>1173</v>
      </c>
      <c r="I765" s="21" t="s">
        <v>39</v>
      </c>
      <c r="J765" s="11">
        <v>205000.0</v>
      </c>
      <c r="K765" s="21" t="s">
        <v>25</v>
      </c>
      <c r="L765" s="25">
        <v>43361.0</v>
      </c>
      <c r="M765" s="31" t="s">
        <v>2624</v>
      </c>
      <c r="N765" s="21"/>
      <c r="O765" s="15">
        <f t="shared" si="1"/>
        <v>2018</v>
      </c>
      <c r="P765" s="16" t="str">
        <f t="shared" si="2"/>
        <v>USD</v>
      </c>
      <c r="Q765" s="15">
        <f>IFERROR(__xludf.DUMMYFUNCTION("IFNA(INDEX(GOOGLEFINANCE(""Currency:USD""&amp;$P765,""price"",DATE(YEAR($L765),MONTH($L765),DAY($L765))),2,2),LOOKUP(P765,CurrencyCodes,UnitsPerUSD))"),1.0)</f>
        <v>1</v>
      </c>
      <c r="R765" s="17">
        <f t="shared" si="3"/>
        <v>205000</v>
      </c>
    </row>
    <row r="766">
      <c r="A766" s="7">
        <v>44005.965895636575</v>
      </c>
      <c r="B766" s="18" t="s">
        <v>18</v>
      </c>
      <c r="C766" s="19">
        <v>1305.0</v>
      </c>
      <c r="D766" s="18" t="s">
        <v>2625</v>
      </c>
      <c r="E766" s="18" t="s">
        <v>2626</v>
      </c>
      <c r="F766" s="18" t="s">
        <v>2440</v>
      </c>
      <c r="G766" s="9">
        <v>45875.0</v>
      </c>
      <c r="H766" s="21" t="s">
        <v>1173</v>
      </c>
      <c r="I766" s="21" t="s">
        <v>39</v>
      </c>
      <c r="J766" s="11">
        <v>150000.0</v>
      </c>
      <c r="K766" s="21" t="s">
        <v>25</v>
      </c>
      <c r="L766" s="25">
        <v>41215.0</v>
      </c>
      <c r="M766" s="24" t="s">
        <v>2627</v>
      </c>
      <c r="N766" s="21" t="s">
        <v>2628</v>
      </c>
      <c r="O766" s="15">
        <f t="shared" si="1"/>
        <v>2012</v>
      </c>
      <c r="P766" s="16" t="str">
        <f t="shared" si="2"/>
        <v>USD</v>
      </c>
      <c r="Q766" s="15">
        <f>IFERROR(__xludf.DUMMYFUNCTION("IFNA(INDEX(GOOGLEFINANCE(""Currency:USD""&amp;$P766,""price"",DATE(YEAR($L766),MONTH($L766),DAY($L766))),2,2),LOOKUP(P766,CurrencyCodes,UnitsPerUSD))"),1.0)</f>
        <v>1</v>
      </c>
      <c r="R766" s="17">
        <f t="shared" si="3"/>
        <v>150000</v>
      </c>
    </row>
    <row r="767">
      <c r="A767" s="7">
        <v>44005.967765995374</v>
      </c>
      <c r="B767" s="18" t="s">
        <v>18</v>
      </c>
      <c r="C767" s="19">
        <v>4398.0</v>
      </c>
      <c r="D767" s="18" t="s">
        <v>2629</v>
      </c>
      <c r="E767" s="18" t="s">
        <v>2630</v>
      </c>
      <c r="F767" s="18" t="s">
        <v>2440</v>
      </c>
      <c r="G767" s="9">
        <v>45056.0</v>
      </c>
      <c r="H767" s="21" t="s">
        <v>1173</v>
      </c>
      <c r="I767" s="21" t="s">
        <v>39</v>
      </c>
      <c r="J767" s="11">
        <v>183000.0</v>
      </c>
      <c r="K767" s="21" t="s">
        <v>25</v>
      </c>
      <c r="L767" s="25">
        <v>43609.0</v>
      </c>
      <c r="M767" s="28" t="s">
        <v>2631</v>
      </c>
      <c r="N767" s="10" t="s">
        <v>2632</v>
      </c>
      <c r="O767" s="15">
        <f t="shared" si="1"/>
        <v>2019</v>
      </c>
      <c r="P767" s="16" t="str">
        <f t="shared" si="2"/>
        <v>USD</v>
      </c>
      <c r="Q767" s="15">
        <f>IFERROR(__xludf.DUMMYFUNCTION("IFNA(INDEX(GOOGLEFINANCE(""Currency:USD""&amp;$P767,""price"",DATE(YEAR($L767),MONTH($L767),DAY($L767))),2,2),LOOKUP(P767,CurrencyCodes,UnitsPerUSD))"),1.0)</f>
        <v>1</v>
      </c>
      <c r="R767" s="17">
        <f t="shared" si="3"/>
        <v>183000</v>
      </c>
    </row>
    <row r="768">
      <c r="A768" s="7">
        <v>43916.87835612269</v>
      </c>
      <c r="B768" s="8" t="s">
        <v>18</v>
      </c>
      <c r="C768" s="9">
        <v>1000.0</v>
      </c>
      <c r="D768" s="8" t="s">
        <v>2633</v>
      </c>
      <c r="E768" s="8" t="s">
        <v>2634</v>
      </c>
      <c r="F768" s="8" t="s">
        <v>2440</v>
      </c>
      <c r="G768" s="9">
        <v>44077.0</v>
      </c>
      <c r="H768" s="10" t="s">
        <v>1173</v>
      </c>
      <c r="I768" s="10" t="s">
        <v>24</v>
      </c>
      <c r="J768" s="11">
        <v>224900.0</v>
      </c>
      <c r="K768" s="10" t="s">
        <v>25</v>
      </c>
      <c r="L768" s="25">
        <v>43460.0</v>
      </c>
      <c r="M768" s="28" t="s">
        <v>2635</v>
      </c>
      <c r="N768" s="12" t="s">
        <v>2636</v>
      </c>
      <c r="O768" s="15">
        <f t="shared" si="1"/>
        <v>2018</v>
      </c>
      <c r="P768" s="16" t="str">
        <f t="shared" si="2"/>
        <v>USD</v>
      </c>
      <c r="Q768" s="15">
        <f>IFERROR(__xludf.DUMMYFUNCTION("IFNA(INDEX(GOOGLEFINANCE(""Currency:USD""&amp;$P768,""price"",DATE(YEAR($L768),MONTH($L768),DAY($L768))),2,2),LOOKUP(P768,CurrencyCodes,UnitsPerUSD))"),1.0)</f>
        <v>1</v>
      </c>
      <c r="R768" s="17">
        <f t="shared" si="3"/>
        <v>224900</v>
      </c>
    </row>
    <row r="769">
      <c r="A769" s="7">
        <v>44006.05765177083</v>
      </c>
      <c r="B769" s="18" t="s">
        <v>18</v>
      </c>
      <c r="C769" s="19">
        <v>820.0</v>
      </c>
      <c r="D769" s="18" t="s">
        <v>2637</v>
      </c>
      <c r="E769" s="18" t="s">
        <v>2638</v>
      </c>
      <c r="F769" s="18" t="s">
        <v>2440</v>
      </c>
      <c r="G769" s="9">
        <v>43452.0</v>
      </c>
      <c r="H769" s="21" t="s">
        <v>1173</v>
      </c>
      <c r="I769" s="21" t="s">
        <v>39</v>
      </c>
      <c r="J769" s="11">
        <v>183000.0</v>
      </c>
      <c r="K769" s="21" t="s">
        <v>25</v>
      </c>
      <c r="L769" s="25">
        <v>39622.0</v>
      </c>
      <c r="M769" s="10"/>
      <c r="N769" s="21" t="s">
        <v>2639</v>
      </c>
      <c r="O769" s="15">
        <f t="shared" si="1"/>
        <v>2008</v>
      </c>
      <c r="P769" s="16" t="str">
        <f t="shared" si="2"/>
        <v>USD</v>
      </c>
      <c r="Q769" s="15">
        <f>IFERROR(__xludf.DUMMYFUNCTION("IFNA(INDEX(GOOGLEFINANCE(""Currency:USD""&amp;$P769,""price"",DATE(YEAR($L769),MONTH($L769),DAY($L769))),2,2),LOOKUP(P769,CurrencyCodes,UnitsPerUSD))"),1.0)</f>
        <v>1</v>
      </c>
      <c r="R769" s="17">
        <f t="shared" si="3"/>
        <v>183000</v>
      </c>
    </row>
    <row r="770">
      <c r="A770" s="7">
        <v>43917.280065983796</v>
      </c>
      <c r="B770" s="18" t="s">
        <v>18</v>
      </c>
      <c r="C770" s="9">
        <v>9603.0</v>
      </c>
      <c r="D770" s="18" t="s">
        <v>2640</v>
      </c>
      <c r="E770" s="18" t="s">
        <v>2641</v>
      </c>
      <c r="F770" s="8" t="s">
        <v>2440</v>
      </c>
      <c r="G770" s="9">
        <v>43837.0</v>
      </c>
      <c r="H770" s="21" t="s">
        <v>1173</v>
      </c>
      <c r="I770" s="21" t="s">
        <v>39</v>
      </c>
      <c r="J770" s="11">
        <v>200000.0</v>
      </c>
      <c r="K770" s="21" t="s">
        <v>25</v>
      </c>
      <c r="L770" s="25">
        <v>43425.0</v>
      </c>
      <c r="M770" s="24" t="s">
        <v>2642</v>
      </c>
      <c r="N770" s="27" t="s">
        <v>2643</v>
      </c>
      <c r="O770" s="15">
        <f t="shared" si="1"/>
        <v>2018</v>
      </c>
      <c r="P770" s="16" t="str">
        <f t="shared" si="2"/>
        <v>USD</v>
      </c>
      <c r="Q770" s="15">
        <f>IFERROR(__xludf.DUMMYFUNCTION("IFNA(INDEX(GOOGLEFINANCE(""Currency:USD""&amp;$P770,""price"",DATE(YEAR($L770),MONTH($L770),DAY($L770))),2,2),LOOKUP(P770,CurrencyCodes,UnitsPerUSD))"),1.0)</f>
        <v>1</v>
      </c>
      <c r="R770" s="17">
        <f t="shared" si="3"/>
        <v>200000</v>
      </c>
    </row>
    <row r="771">
      <c r="A771" s="7">
        <v>44006.06075293981</v>
      </c>
      <c r="B771" s="18" t="s">
        <v>18</v>
      </c>
      <c r="C771" s="19">
        <v>105.0</v>
      </c>
      <c r="D771" s="18" t="s">
        <v>2644</v>
      </c>
      <c r="E771" s="18" t="s">
        <v>2645</v>
      </c>
      <c r="F771" s="18" t="s">
        <v>2440</v>
      </c>
      <c r="G771" s="9">
        <v>43837.0</v>
      </c>
      <c r="H771" s="21" t="s">
        <v>1173</v>
      </c>
      <c r="I771" s="21" t="s">
        <v>39</v>
      </c>
      <c r="J771" s="11">
        <v>49900.0</v>
      </c>
      <c r="K771" s="21" t="s">
        <v>25</v>
      </c>
      <c r="L771" s="25">
        <v>41208.0</v>
      </c>
      <c r="M771" s="24" t="s">
        <v>2646</v>
      </c>
      <c r="N771" s="27" t="s">
        <v>2647</v>
      </c>
      <c r="O771" s="15">
        <f t="shared" si="1"/>
        <v>2012</v>
      </c>
      <c r="P771" s="16" t="str">
        <f t="shared" si="2"/>
        <v>USD</v>
      </c>
      <c r="Q771" s="15">
        <f>IFERROR(__xludf.DUMMYFUNCTION("IFNA(INDEX(GOOGLEFINANCE(""Currency:USD""&amp;$P771,""price"",DATE(YEAR($L771),MONTH($L771),DAY($L771))),2,2),LOOKUP(P771,CurrencyCodes,UnitsPerUSD))"),1.0)</f>
        <v>1</v>
      </c>
      <c r="R771" s="17">
        <f t="shared" si="3"/>
        <v>49900</v>
      </c>
    </row>
    <row r="772">
      <c r="A772" s="7">
        <v>44006.06316372685</v>
      </c>
      <c r="B772" s="18" t="s">
        <v>18</v>
      </c>
      <c r="C772" s="19">
        <v>155.0</v>
      </c>
      <c r="D772" s="18" t="s">
        <v>2237</v>
      </c>
      <c r="E772" s="18" t="s">
        <v>2648</v>
      </c>
      <c r="F772" s="18" t="s">
        <v>2440</v>
      </c>
      <c r="G772" s="9">
        <v>43942.0</v>
      </c>
      <c r="H772" s="21" t="s">
        <v>1173</v>
      </c>
      <c r="I772" s="21" t="s">
        <v>39</v>
      </c>
      <c r="J772" s="11">
        <v>95000.0</v>
      </c>
      <c r="K772" s="21" t="s">
        <v>25</v>
      </c>
      <c r="L772" s="25">
        <v>43454.0</v>
      </c>
      <c r="M772" s="31" t="s">
        <v>2649</v>
      </c>
      <c r="N772" s="21"/>
      <c r="O772" s="15">
        <f t="shared" si="1"/>
        <v>2018</v>
      </c>
      <c r="P772" s="16" t="str">
        <f t="shared" si="2"/>
        <v>USD</v>
      </c>
      <c r="Q772" s="15">
        <f>IFERROR(__xludf.DUMMYFUNCTION("IFNA(INDEX(GOOGLEFINANCE(""Currency:USD""&amp;$P772,""price"",DATE(YEAR($L772),MONTH($L772),DAY($L772))),2,2),LOOKUP(P772,CurrencyCodes,UnitsPerUSD))"),1.0)</f>
        <v>1</v>
      </c>
      <c r="R772" s="17">
        <f t="shared" si="3"/>
        <v>95000</v>
      </c>
    </row>
    <row r="773">
      <c r="A773" s="7">
        <v>44006.065380706015</v>
      </c>
      <c r="B773" s="18" t="s">
        <v>18</v>
      </c>
      <c r="C773" s="19">
        <v>3761.0</v>
      </c>
      <c r="D773" s="18" t="s">
        <v>2650</v>
      </c>
      <c r="E773" s="18" t="s">
        <v>2651</v>
      </c>
      <c r="F773" s="18" t="s">
        <v>2440</v>
      </c>
      <c r="G773" s="19">
        <v>44266.0</v>
      </c>
      <c r="H773" s="21" t="s">
        <v>1173</v>
      </c>
      <c r="I773" s="21" t="s">
        <v>24</v>
      </c>
      <c r="J773" s="11">
        <v>227900.0</v>
      </c>
      <c r="K773" s="21" t="s">
        <v>25</v>
      </c>
      <c r="L773" s="25">
        <v>43850.0</v>
      </c>
      <c r="M773" s="31" t="s">
        <v>2652</v>
      </c>
      <c r="N773" s="10"/>
      <c r="O773" s="15">
        <f t="shared" si="1"/>
        <v>2020</v>
      </c>
      <c r="P773" s="16" t="str">
        <f t="shared" si="2"/>
        <v>USD</v>
      </c>
      <c r="Q773" s="15">
        <f>IFERROR(__xludf.DUMMYFUNCTION("IFNA(INDEX(GOOGLEFINANCE(""Currency:USD""&amp;$P773,""price"",DATE(YEAR($L773),MONTH($L773),DAY($L773))),2,2),LOOKUP(P773,CurrencyCodes,UnitsPerUSD))"),1.0)</f>
        <v>1</v>
      </c>
      <c r="R773" s="17">
        <f t="shared" si="3"/>
        <v>227900</v>
      </c>
    </row>
    <row r="774">
      <c r="A774" s="7">
        <v>44006.067824178244</v>
      </c>
      <c r="B774" s="18" t="s">
        <v>18</v>
      </c>
      <c r="C774" s="19">
        <v>1610.0</v>
      </c>
      <c r="D774" s="18" t="s">
        <v>2653</v>
      </c>
      <c r="E774" s="18" t="s">
        <v>2654</v>
      </c>
      <c r="F774" s="18" t="s">
        <v>2440</v>
      </c>
      <c r="G774" s="9">
        <v>44460.0</v>
      </c>
      <c r="H774" s="21" t="s">
        <v>1173</v>
      </c>
      <c r="I774" s="21" t="s">
        <v>24</v>
      </c>
      <c r="J774" s="11">
        <v>185000.0</v>
      </c>
      <c r="K774" s="21" t="s">
        <v>25</v>
      </c>
      <c r="L774" s="25">
        <v>43942.0</v>
      </c>
      <c r="M774" s="31" t="s">
        <v>2655</v>
      </c>
      <c r="N774" s="21"/>
      <c r="O774" s="15">
        <f t="shared" si="1"/>
        <v>2020</v>
      </c>
      <c r="P774" s="16" t="str">
        <f t="shared" si="2"/>
        <v>USD</v>
      </c>
      <c r="Q774" s="15">
        <f>IFERROR(__xludf.DUMMYFUNCTION("IFNA(INDEX(GOOGLEFINANCE(""Currency:USD""&amp;$P774,""price"",DATE(YEAR($L774),MONTH($L774),DAY($L774))),2,2),LOOKUP(P774,CurrencyCodes,UnitsPerUSD))"),1.0)</f>
        <v>1</v>
      </c>
      <c r="R774" s="17">
        <f t="shared" si="3"/>
        <v>185000</v>
      </c>
    </row>
    <row r="775">
      <c r="A775" s="7">
        <v>44006.069601979165</v>
      </c>
      <c r="B775" s="18" t="s">
        <v>18</v>
      </c>
      <c r="C775" s="19">
        <v>608.0</v>
      </c>
      <c r="D775" s="18" t="s">
        <v>2656</v>
      </c>
      <c r="E775" s="18" t="s">
        <v>2657</v>
      </c>
      <c r="F775" s="8" t="s">
        <v>2440</v>
      </c>
      <c r="G775" s="9">
        <v>44870.0</v>
      </c>
      <c r="H775" s="21" t="s">
        <v>1173</v>
      </c>
      <c r="I775" s="21" t="s">
        <v>39</v>
      </c>
      <c r="J775" s="11">
        <v>140000.0</v>
      </c>
      <c r="K775" s="21" t="s">
        <v>25</v>
      </c>
      <c r="L775" s="25">
        <v>43815.0</v>
      </c>
      <c r="M775" s="28" t="s">
        <v>2658</v>
      </c>
      <c r="N775" s="21" t="s">
        <v>2659</v>
      </c>
      <c r="O775" s="15">
        <f t="shared" si="1"/>
        <v>2019</v>
      </c>
      <c r="P775" s="16" t="str">
        <f t="shared" si="2"/>
        <v>USD</v>
      </c>
      <c r="Q775" s="15">
        <f>IFERROR(__xludf.DUMMYFUNCTION("IFNA(INDEX(GOOGLEFINANCE(""Currency:USD""&amp;$P775,""price"",DATE(YEAR($L775),MONTH($L775),DAY($L775))),2,2),LOOKUP(P775,CurrencyCodes,UnitsPerUSD))"),1.0)</f>
        <v>1</v>
      </c>
      <c r="R775" s="17">
        <f t="shared" si="3"/>
        <v>140000</v>
      </c>
    </row>
    <row r="776">
      <c r="A776" s="7">
        <v>43918.96347422454</v>
      </c>
      <c r="B776" s="18" t="s">
        <v>18</v>
      </c>
      <c r="C776" s="9">
        <v>4355.0</v>
      </c>
      <c r="D776" s="18" t="s">
        <v>2660</v>
      </c>
      <c r="E776" s="18" t="s">
        <v>2661</v>
      </c>
      <c r="F776" s="8" t="s">
        <v>2440</v>
      </c>
      <c r="G776" s="19">
        <v>44273.0</v>
      </c>
      <c r="H776" s="21" t="s">
        <v>1173</v>
      </c>
      <c r="I776" s="21" t="s">
        <v>39</v>
      </c>
      <c r="J776" s="11">
        <v>165000.0</v>
      </c>
      <c r="K776" s="21" t="s">
        <v>25</v>
      </c>
      <c r="L776" s="25">
        <v>43404.0</v>
      </c>
      <c r="M776" s="24" t="s">
        <v>2662</v>
      </c>
      <c r="N776" s="27" t="s">
        <v>2663</v>
      </c>
      <c r="O776" s="15">
        <f t="shared" si="1"/>
        <v>2018</v>
      </c>
      <c r="P776" s="16" t="str">
        <f t="shared" si="2"/>
        <v>USD</v>
      </c>
      <c r="Q776" s="15">
        <f>IFERROR(__xludf.DUMMYFUNCTION("IFNA(INDEX(GOOGLEFINANCE(""Currency:USD""&amp;$P776,""price"",DATE(YEAR($L776),MONTH($L776),DAY($L776))),2,2),LOOKUP(P776,CurrencyCodes,UnitsPerUSD))"),1.0)</f>
        <v>1</v>
      </c>
      <c r="R776" s="17">
        <f t="shared" si="3"/>
        <v>165000</v>
      </c>
    </row>
    <row r="777">
      <c r="A777" s="7">
        <v>44006.0744531713</v>
      </c>
      <c r="B777" s="18" t="s">
        <v>18</v>
      </c>
      <c r="C777" s="19">
        <v>7085.0</v>
      </c>
      <c r="D777" s="18" t="s">
        <v>2664</v>
      </c>
      <c r="E777" s="18" t="s">
        <v>2665</v>
      </c>
      <c r="F777" s="18" t="s">
        <v>2440</v>
      </c>
      <c r="G777" s="19">
        <v>44875.0</v>
      </c>
      <c r="H777" s="21" t="s">
        <v>1173</v>
      </c>
      <c r="I777" s="21" t="s">
        <v>39</v>
      </c>
      <c r="J777" s="11">
        <v>120000.0</v>
      </c>
      <c r="K777" s="21" t="s">
        <v>25</v>
      </c>
      <c r="L777" s="25">
        <v>44005.0</v>
      </c>
      <c r="M777" s="24" t="s">
        <v>2666</v>
      </c>
      <c r="N777" s="10" t="s">
        <v>2667</v>
      </c>
      <c r="O777" s="15">
        <f t="shared" si="1"/>
        <v>2020</v>
      </c>
      <c r="P777" s="16" t="str">
        <f t="shared" si="2"/>
        <v>USD</v>
      </c>
      <c r="Q777" s="15">
        <f>IFERROR(__xludf.DUMMYFUNCTION("IFNA(INDEX(GOOGLEFINANCE(""Currency:USD""&amp;$P777,""price"",DATE(YEAR($L777),MONTH($L777),DAY($L777))),2,2),LOOKUP(P777,CurrencyCodes,UnitsPerUSD))"),1.0)</f>
        <v>1</v>
      </c>
      <c r="R777" s="17">
        <f t="shared" si="3"/>
        <v>120000</v>
      </c>
    </row>
    <row r="778">
      <c r="A778" s="7">
        <v>44006.3967191088</v>
      </c>
      <c r="B778" s="18" t="s">
        <v>18</v>
      </c>
      <c r="C778" s="19">
        <v>2105.0</v>
      </c>
      <c r="D778" s="18" t="s">
        <v>2668</v>
      </c>
      <c r="E778" s="18" t="s">
        <v>2669</v>
      </c>
      <c r="F778" s="18" t="s">
        <v>2440</v>
      </c>
      <c r="G778" s="19">
        <v>45505.0</v>
      </c>
      <c r="H778" s="21" t="s">
        <v>1173</v>
      </c>
      <c r="I778" s="21" t="s">
        <v>39</v>
      </c>
      <c r="J778" s="11">
        <v>117500.0</v>
      </c>
      <c r="K778" s="21" t="s">
        <v>25</v>
      </c>
      <c r="L778" s="25">
        <v>40148.0</v>
      </c>
      <c r="M778" s="28" t="s">
        <v>2670</v>
      </c>
      <c r="N778" s="27" t="s">
        <v>2671</v>
      </c>
      <c r="O778" s="15">
        <f t="shared" si="1"/>
        <v>2009</v>
      </c>
      <c r="P778" s="16" t="str">
        <f t="shared" si="2"/>
        <v>USD</v>
      </c>
      <c r="Q778" s="15">
        <f>IFERROR(__xludf.DUMMYFUNCTION("IFNA(INDEX(GOOGLEFINANCE(""Currency:USD""&amp;$P778,""price"",DATE(YEAR($L778),MONTH($L778),DAY($L778))),2,2),LOOKUP(P778,CurrencyCodes,UnitsPerUSD))"),1.0)</f>
        <v>1</v>
      </c>
      <c r="R778" s="17">
        <f t="shared" si="3"/>
        <v>117500</v>
      </c>
    </row>
    <row r="779">
      <c r="A779" s="7">
        <v>44006.37519396991</v>
      </c>
      <c r="B779" s="18" t="s">
        <v>18</v>
      </c>
      <c r="C779" s="19">
        <v>3924.0</v>
      </c>
      <c r="D779" s="18" t="s">
        <v>2672</v>
      </c>
      <c r="E779" s="18" t="s">
        <v>2673</v>
      </c>
      <c r="F779" s="18" t="s">
        <v>2440</v>
      </c>
      <c r="G779" s="19">
        <v>44224.0</v>
      </c>
      <c r="H779" s="21" t="s">
        <v>1173</v>
      </c>
      <c r="I779" s="21" t="s">
        <v>39</v>
      </c>
      <c r="J779" s="11">
        <v>199000.0</v>
      </c>
      <c r="K779" s="21" t="s">
        <v>25</v>
      </c>
      <c r="L779" s="25">
        <v>41460.0</v>
      </c>
      <c r="M779" s="28" t="s">
        <v>2674</v>
      </c>
      <c r="N779" s="12" t="s">
        <v>2675</v>
      </c>
      <c r="O779" s="15">
        <f t="shared" si="1"/>
        <v>2013</v>
      </c>
      <c r="P779" s="16" t="str">
        <f t="shared" si="2"/>
        <v>USD</v>
      </c>
      <c r="Q779" s="15">
        <f>IFERROR(__xludf.DUMMYFUNCTION("IFNA(INDEX(GOOGLEFINANCE(""Currency:USD""&amp;$P779,""price"",DATE(YEAR($L779),MONTH($L779),DAY($L779))),2,2),LOOKUP(P779,CurrencyCodes,UnitsPerUSD))"),1.0)</f>
        <v>1</v>
      </c>
      <c r="R779" s="17">
        <f t="shared" si="3"/>
        <v>199000</v>
      </c>
    </row>
    <row r="780">
      <c r="A780" s="7">
        <v>44006.08235859954</v>
      </c>
      <c r="B780" s="18" t="s">
        <v>18</v>
      </c>
      <c r="C780" s="19">
        <v>13923.0</v>
      </c>
      <c r="D780" s="18" t="s">
        <v>2676</v>
      </c>
      <c r="E780" s="18" t="s">
        <v>2677</v>
      </c>
      <c r="F780" s="18" t="s">
        <v>2440</v>
      </c>
      <c r="G780" s="19">
        <v>43558.0</v>
      </c>
      <c r="H780" s="21" t="s">
        <v>1173</v>
      </c>
      <c r="I780" s="21" t="s">
        <v>24</v>
      </c>
      <c r="J780" s="11">
        <v>314000.0</v>
      </c>
      <c r="K780" s="21" t="s">
        <v>25</v>
      </c>
      <c r="L780" s="25">
        <v>43859.0</v>
      </c>
      <c r="M780" s="31" t="s">
        <v>2678</v>
      </c>
      <c r="N780" s="21"/>
      <c r="O780" s="15">
        <f t="shared" si="1"/>
        <v>2020</v>
      </c>
      <c r="P780" s="16" t="str">
        <f t="shared" si="2"/>
        <v>USD</v>
      </c>
      <c r="Q780" s="15">
        <f>IFERROR(__xludf.DUMMYFUNCTION("IFNA(INDEX(GOOGLEFINANCE(""Currency:USD""&amp;$P780,""price"",DATE(YEAR($L780),MONTH($L780),DAY($L780))),2,2),LOOKUP(P780,CurrencyCodes,UnitsPerUSD))"),1.0)</f>
        <v>1</v>
      </c>
      <c r="R780" s="17">
        <f t="shared" si="3"/>
        <v>314000</v>
      </c>
    </row>
    <row r="781">
      <c r="A781" s="7">
        <v>44006.085805208335</v>
      </c>
      <c r="B781" s="18" t="s">
        <v>18</v>
      </c>
      <c r="C781" s="19">
        <v>7465.0</v>
      </c>
      <c r="D781" s="18" t="s">
        <v>2679</v>
      </c>
      <c r="E781" s="18" t="s">
        <v>2680</v>
      </c>
      <c r="F781" s="18" t="s">
        <v>2440</v>
      </c>
      <c r="G781" s="19">
        <v>45371.0</v>
      </c>
      <c r="H781" s="21" t="s">
        <v>1173</v>
      </c>
      <c r="I781" s="21" t="s">
        <v>39</v>
      </c>
      <c r="J781" s="11">
        <v>159000.0</v>
      </c>
      <c r="K781" s="21" t="s">
        <v>25</v>
      </c>
      <c r="L781" s="25">
        <v>39820.0</v>
      </c>
      <c r="M781" s="24" t="s">
        <v>2681</v>
      </c>
      <c r="N781" s="27" t="s">
        <v>2682</v>
      </c>
      <c r="O781" s="15">
        <f t="shared" si="1"/>
        <v>2009</v>
      </c>
      <c r="P781" s="16" t="str">
        <f t="shared" si="2"/>
        <v>USD</v>
      </c>
      <c r="Q781" s="15">
        <f>IFERROR(__xludf.DUMMYFUNCTION("IFNA(INDEX(GOOGLEFINANCE(""Currency:USD""&amp;$P781,""price"",DATE(YEAR($L781),MONTH($L781),DAY($L781))),2,2),LOOKUP(P781,CurrencyCodes,UnitsPerUSD))"),1.0)</f>
        <v>1</v>
      </c>
      <c r="R781" s="17">
        <f t="shared" si="3"/>
        <v>159000</v>
      </c>
    </row>
    <row r="782">
      <c r="A782" s="7">
        <v>43919.62877763889</v>
      </c>
      <c r="B782" s="18" t="s">
        <v>18</v>
      </c>
      <c r="C782" s="9">
        <v>3445.0</v>
      </c>
      <c r="D782" s="18" t="s">
        <v>2683</v>
      </c>
      <c r="E782" s="18" t="s">
        <v>2684</v>
      </c>
      <c r="F782" s="8" t="s">
        <v>2440</v>
      </c>
      <c r="G782" s="9">
        <v>43611.0</v>
      </c>
      <c r="H782" s="21" t="s">
        <v>1173</v>
      </c>
      <c r="I782" s="21" t="s">
        <v>39</v>
      </c>
      <c r="J782" s="11">
        <v>98000.0</v>
      </c>
      <c r="K782" s="27" t="s">
        <v>25</v>
      </c>
      <c r="L782" s="22"/>
      <c r="M782" s="24" t="s">
        <v>2685</v>
      </c>
      <c r="N782" s="21" t="s">
        <v>2686</v>
      </c>
      <c r="O782" s="15" t="str">
        <f t="shared" si="1"/>
        <v>Unknown</v>
      </c>
      <c r="P782" s="16" t="str">
        <f t="shared" si="2"/>
        <v>USD</v>
      </c>
      <c r="Q782" s="15">
        <f>IFERROR(__xludf.DUMMYFUNCTION("IFNA(INDEX(GOOGLEFINANCE(""Currency:USD""&amp;$P782,""price"",DATE(YEAR($L782),MONTH($L782),DAY($L782))),2,2),LOOKUP(P782,CurrencyCodes,UnitsPerUSD))"),1.0)</f>
        <v>1</v>
      </c>
      <c r="R782" s="17">
        <f t="shared" si="3"/>
        <v>98000</v>
      </c>
    </row>
    <row r="783">
      <c r="A783" s="7">
        <v>44006.37378471065</v>
      </c>
      <c r="B783" s="18" t="s">
        <v>18</v>
      </c>
      <c r="C783" s="19">
        <v>890.0</v>
      </c>
      <c r="D783" s="18" t="s">
        <v>2687</v>
      </c>
      <c r="E783" s="18" t="s">
        <v>2684</v>
      </c>
      <c r="F783" s="18" t="s">
        <v>2440</v>
      </c>
      <c r="G783" s="19">
        <v>43606.0</v>
      </c>
      <c r="H783" s="21" t="s">
        <v>1173</v>
      </c>
      <c r="I783" s="21" t="s">
        <v>39</v>
      </c>
      <c r="J783" s="11">
        <v>118800.0</v>
      </c>
      <c r="K783" s="21" t="s">
        <v>25</v>
      </c>
      <c r="L783" s="25">
        <v>39084.0</v>
      </c>
      <c r="M783" s="24" t="s">
        <v>2688</v>
      </c>
      <c r="N783" s="27" t="s">
        <v>2689</v>
      </c>
      <c r="O783" s="15">
        <f t="shared" si="1"/>
        <v>2007</v>
      </c>
      <c r="P783" s="16" t="str">
        <f t="shared" si="2"/>
        <v>USD</v>
      </c>
      <c r="Q783" s="15">
        <f>IFERROR(__xludf.DUMMYFUNCTION("IFNA(INDEX(GOOGLEFINANCE(""Currency:USD""&amp;$P783,""price"",DATE(YEAR($L783),MONTH($L783),DAY($L783))),2,2),LOOKUP(P783,CurrencyCodes,UnitsPerUSD))"),1.0)</f>
        <v>1</v>
      </c>
      <c r="R783" s="17">
        <f t="shared" si="3"/>
        <v>118800</v>
      </c>
    </row>
    <row r="784">
      <c r="A784" s="7">
        <v>44006.405058530094</v>
      </c>
      <c r="B784" s="18" t="s">
        <v>18</v>
      </c>
      <c r="C784" s="19">
        <v>1228.0</v>
      </c>
      <c r="D784" s="18" t="s">
        <v>2690</v>
      </c>
      <c r="E784" s="18" t="s">
        <v>2691</v>
      </c>
      <c r="F784" s="18" t="s">
        <v>2440</v>
      </c>
      <c r="G784" s="19">
        <v>43607.0</v>
      </c>
      <c r="H784" s="21" t="s">
        <v>1173</v>
      </c>
      <c r="I784" s="21" t="s">
        <v>39</v>
      </c>
      <c r="J784" s="11">
        <v>0.0</v>
      </c>
      <c r="K784" s="27" t="s">
        <v>25</v>
      </c>
      <c r="L784" s="22"/>
      <c r="M784" s="24" t="s">
        <v>2692</v>
      </c>
      <c r="N784" s="27" t="s">
        <v>2693</v>
      </c>
      <c r="O784" s="15" t="str">
        <f t="shared" si="1"/>
        <v>Unknown</v>
      </c>
      <c r="P784" s="16" t="str">
        <f t="shared" si="2"/>
        <v>USD</v>
      </c>
      <c r="Q784" s="15">
        <f>IFERROR(__xludf.DUMMYFUNCTION("IFNA(INDEX(GOOGLEFINANCE(""Currency:USD""&amp;$P784,""price"",DATE(YEAR($L784),MONTH($L784),DAY($L784))),2,2),LOOKUP(P784,CurrencyCodes,UnitsPerUSD))"),1.0)</f>
        <v>1</v>
      </c>
      <c r="R784" s="17">
        <f t="shared" si="3"/>
        <v>0</v>
      </c>
    </row>
    <row r="785">
      <c r="A785" s="7">
        <v>44006.09316326389</v>
      </c>
      <c r="B785" s="18" t="s">
        <v>18</v>
      </c>
      <c r="C785" s="19">
        <v>1809.0</v>
      </c>
      <c r="D785" s="18" t="s">
        <v>2694</v>
      </c>
      <c r="E785" s="18" t="s">
        <v>2691</v>
      </c>
      <c r="F785" s="8" t="s">
        <v>2440</v>
      </c>
      <c r="G785" s="9">
        <v>43615.0</v>
      </c>
      <c r="H785" s="21" t="s">
        <v>1173</v>
      </c>
      <c r="I785" s="21" t="s">
        <v>39</v>
      </c>
      <c r="J785" s="11">
        <v>0.0</v>
      </c>
      <c r="K785" s="27" t="s">
        <v>25</v>
      </c>
      <c r="L785" s="22"/>
      <c r="M785" s="21"/>
      <c r="N785" s="27" t="s">
        <v>2695</v>
      </c>
      <c r="O785" s="15" t="str">
        <f t="shared" si="1"/>
        <v>Unknown</v>
      </c>
      <c r="P785" s="16" t="str">
        <f t="shared" si="2"/>
        <v>USD</v>
      </c>
      <c r="Q785" s="15">
        <f>IFERROR(__xludf.DUMMYFUNCTION("IFNA(INDEX(GOOGLEFINANCE(""Currency:USD""&amp;$P785,""price"",DATE(YEAR($L785),MONTH($L785),DAY($L785))),2,2),LOOKUP(P785,CurrencyCodes,UnitsPerUSD))"),1.0)</f>
        <v>1</v>
      </c>
      <c r="R785" s="17">
        <f t="shared" si="3"/>
        <v>0</v>
      </c>
    </row>
    <row r="786">
      <c r="A786" s="7">
        <v>44064.18801636574</v>
      </c>
      <c r="B786" s="8" t="s">
        <v>18</v>
      </c>
      <c r="C786" s="9">
        <v>465.0</v>
      </c>
      <c r="D786" s="8" t="s">
        <v>2696</v>
      </c>
      <c r="E786" s="8" t="s">
        <v>2697</v>
      </c>
      <c r="F786" s="8" t="s">
        <v>2440</v>
      </c>
      <c r="G786" s="9">
        <v>45426.0</v>
      </c>
      <c r="H786" s="10" t="s">
        <v>1173</v>
      </c>
      <c r="I786" s="10" t="s">
        <v>39</v>
      </c>
      <c r="J786" s="11">
        <v>249000.0</v>
      </c>
      <c r="K786" s="10" t="s">
        <v>25</v>
      </c>
      <c r="L786" s="25">
        <v>43506.0</v>
      </c>
      <c r="M786" s="28" t="s">
        <v>2698</v>
      </c>
      <c r="N786" s="12" t="s">
        <v>2699</v>
      </c>
      <c r="O786" s="15">
        <f t="shared" si="1"/>
        <v>2019</v>
      </c>
      <c r="P786" s="16" t="str">
        <f t="shared" si="2"/>
        <v>USD</v>
      </c>
      <c r="Q786" s="15">
        <f>IFERROR(__xludf.DUMMYFUNCTION("IFNA(INDEX(GOOGLEFINANCE(""Currency:USD""&amp;$P786,""price"",DATE(YEAR($L786),MONTH($L786),DAY($L786))),2,2),LOOKUP(P786,CurrencyCodes,UnitsPerUSD))"),1.0)</f>
        <v>1</v>
      </c>
      <c r="R786" s="17">
        <f t="shared" si="3"/>
        <v>249000</v>
      </c>
    </row>
    <row r="787">
      <c r="A787" s="7">
        <v>44083.44737199074</v>
      </c>
      <c r="B787" s="8" t="s">
        <v>18</v>
      </c>
      <c r="C787" s="9">
        <v>7041.0</v>
      </c>
      <c r="D787" s="8" t="s">
        <v>2700</v>
      </c>
      <c r="E787" s="8" t="s">
        <v>2701</v>
      </c>
      <c r="F787" s="8" t="s">
        <v>2440</v>
      </c>
      <c r="G787" s="9">
        <v>44683.0</v>
      </c>
      <c r="H787" s="10" t="s">
        <v>1173</v>
      </c>
      <c r="I787" s="10" t="s">
        <v>39</v>
      </c>
      <c r="J787" s="11">
        <v>118000.0</v>
      </c>
      <c r="K787" s="10" t="s">
        <v>25</v>
      </c>
      <c r="L787" s="25">
        <v>43651.0</v>
      </c>
      <c r="M787" s="14" t="s">
        <v>2702</v>
      </c>
      <c r="N787" s="10"/>
      <c r="O787" s="15">
        <f t="shared" si="1"/>
        <v>2019</v>
      </c>
      <c r="P787" s="16" t="str">
        <f t="shared" si="2"/>
        <v>USD</v>
      </c>
      <c r="Q787" s="15">
        <f>IFERROR(__xludf.DUMMYFUNCTION("IFNA(INDEX(GOOGLEFINANCE(""Currency:USD""&amp;$P787,""price"",DATE(YEAR($L787),MONTH($L787),DAY($L787))),2,2),LOOKUP(P787,CurrencyCodes,UnitsPerUSD))"),1.0)</f>
        <v>1</v>
      </c>
      <c r="R787" s="17">
        <f t="shared" si="3"/>
        <v>118000</v>
      </c>
    </row>
    <row r="788">
      <c r="A788" s="7">
        <v>43918.547358564814</v>
      </c>
      <c r="B788" s="18" t="s">
        <v>18</v>
      </c>
      <c r="C788" s="9">
        <v>10819.0</v>
      </c>
      <c r="D788" s="18" t="s">
        <v>2703</v>
      </c>
      <c r="E788" s="18" t="s">
        <v>2704</v>
      </c>
      <c r="F788" s="8" t="s">
        <v>2440</v>
      </c>
      <c r="G788" s="9">
        <v>43351.0</v>
      </c>
      <c r="H788" s="21" t="s">
        <v>1173</v>
      </c>
      <c r="I788" s="21" t="s">
        <v>39</v>
      </c>
      <c r="J788" s="11">
        <v>222500.0</v>
      </c>
      <c r="K788" s="21" t="s">
        <v>25</v>
      </c>
      <c r="L788" s="25">
        <v>43811.0</v>
      </c>
      <c r="M788" s="24" t="s">
        <v>2705</v>
      </c>
      <c r="N788" s="27" t="s">
        <v>2706</v>
      </c>
      <c r="O788" s="15">
        <f t="shared" si="1"/>
        <v>2019</v>
      </c>
      <c r="P788" s="16" t="str">
        <f t="shared" si="2"/>
        <v>USD</v>
      </c>
      <c r="Q788" s="15">
        <f>IFERROR(__xludf.DUMMYFUNCTION("IFNA(INDEX(GOOGLEFINANCE(""Currency:USD""&amp;$P788,""price"",DATE(YEAR($L788),MONTH($L788),DAY($L788))),2,2),LOOKUP(P788,CurrencyCodes,UnitsPerUSD))"),1.0)</f>
        <v>1</v>
      </c>
      <c r="R788" s="17">
        <f t="shared" si="3"/>
        <v>222500</v>
      </c>
    </row>
    <row r="789">
      <c r="A789" s="7">
        <v>44006.142217534725</v>
      </c>
      <c r="B789" s="18" t="s">
        <v>2707</v>
      </c>
      <c r="C789" s="19">
        <v>6408.0</v>
      </c>
      <c r="D789" s="18" t="s">
        <v>2708</v>
      </c>
      <c r="E789" s="18" t="s">
        <v>2709</v>
      </c>
      <c r="F789" s="18" t="s">
        <v>2440</v>
      </c>
      <c r="G789" s="19">
        <v>44089.0</v>
      </c>
      <c r="H789" s="21" t="s">
        <v>1173</v>
      </c>
      <c r="I789" s="21" t="s">
        <v>39</v>
      </c>
      <c r="J789" s="11">
        <v>0.0</v>
      </c>
      <c r="K789" s="27" t="s">
        <v>25</v>
      </c>
      <c r="L789" s="22"/>
      <c r="M789" s="21"/>
      <c r="N789" s="10" t="s">
        <v>2710</v>
      </c>
      <c r="O789" s="15" t="str">
        <f t="shared" si="1"/>
        <v>Unknown</v>
      </c>
      <c r="P789" s="16" t="str">
        <f t="shared" si="2"/>
        <v>USD</v>
      </c>
      <c r="Q789" s="15">
        <f>IFERROR(__xludf.DUMMYFUNCTION("IFNA(INDEX(GOOGLEFINANCE(""Currency:USD""&amp;$P789,""price"",DATE(YEAR($L789),MONTH($L789),DAY($L789))),2,2),LOOKUP(P789,CurrencyCodes,UnitsPerUSD))"),1.0)</f>
        <v>1</v>
      </c>
      <c r="R789" s="17">
        <f t="shared" si="3"/>
        <v>0</v>
      </c>
    </row>
    <row r="790">
      <c r="A790" s="7">
        <v>43918.5552855787</v>
      </c>
      <c r="B790" s="18" t="s">
        <v>18</v>
      </c>
      <c r="C790" s="9">
        <v>916.0</v>
      </c>
      <c r="D790" s="18" t="s">
        <v>2711</v>
      </c>
      <c r="E790" s="18" t="s">
        <v>2712</v>
      </c>
      <c r="F790" s="8" t="s">
        <v>2440</v>
      </c>
      <c r="G790" s="9">
        <v>45895.0</v>
      </c>
      <c r="H790" s="21" t="s">
        <v>1173</v>
      </c>
      <c r="I790" s="21" t="s">
        <v>39</v>
      </c>
      <c r="J790" s="11">
        <v>145000.0</v>
      </c>
      <c r="K790" s="21" t="s">
        <v>25</v>
      </c>
      <c r="L790" s="25">
        <v>43348.0</v>
      </c>
      <c r="M790" s="31" t="s">
        <v>2713</v>
      </c>
      <c r="N790" s="21"/>
      <c r="O790" s="15">
        <f t="shared" si="1"/>
        <v>2018</v>
      </c>
      <c r="P790" s="16" t="str">
        <f t="shared" si="2"/>
        <v>USD</v>
      </c>
      <c r="Q790" s="15">
        <f>IFERROR(__xludf.DUMMYFUNCTION("IFNA(INDEX(GOOGLEFINANCE(""Currency:USD""&amp;$P790,""price"",DATE(YEAR($L790),MONTH($L790),DAY($L790))),2,2),LOOKUP(P790,CurrencyCodes,UnitsPerUSD))"),1.0)</f>
        <v>1</v>
      </c>
      <c r="R790" s="17">
        <f t="shared" si="3"/>
        <v>145000</v>
      </c>
    </row>
    <row r="791">
      <c r="A791" s="7">
        <v>44006.14640253472</v>
      </c>
      <c r="B791" s="18" t="s">
        <v>18</v>
      </c>
      <c r="C791" s="19">
        <v>3555.0</v>
      </c>
      <c r="D791" s="18" t="s">
        <v>2714</v>
      </c>
      <c r="E791" s="18" t="s">
        <v>2715</v>
      </c>
      <c r="F791" s="18" t="s">
        <v>2440</v>
      </c>
      <c r="G791" s="19">
        <v>44485.0</v>
      </c>
      <c r="H791" s="21" t="s">
        <v>1173</v>
      </c>
      <c r="I791" s="21" t="s">
        <v>39</v>
      </c>
      <c r="J791" s="11">
        <v>170000.0</v>
      </c>
      <c r="K791" s="21" t="s">
        <v>25</v>
      </c>
      <c r="L791" s="25">
        <v>43782.0</v>
      </c>
      <c r="M791" s="24" t="s">
        <v>2716</v>
      </c>
      <c r="N791" s="27" t="s">
        <v>2717</v>
      </c>
      <c r="O791" s="15">
        <f t="shared" si="1"/>
        <v>2019</v>
      </c>
      <c r="P791" s="16" t="str">
        <f t="shared" si="2"/>
        <v>USD</v>
      </c>
      <c r="Q791" s="15">
        <f>IFERROR(__xludf.DUMMYFUNCTION("IFNA(INDEX(GOOGLEFINANCE(""Currency:USD""&amp;$P791,""price"",DATE(YEAR($L791),MONTH($L791),DAY($L791))),2,2),LOOKUP(P791,CurrencyCodes,UnitsPerUSD))"),1.0)</f>
        <v>1</v>
      </c>
      <c r="R791" s="17">
        <f t="shared" si="3"/>
        <v>170000</v>
      </c>
    </row>
    <row r="792">
      <c r="A792" s="7">
        <v>44006.14410800926</v>
      </c>
      <c r="B792" s="18" t="s">
        <v>18</v>
      </c>
      <c r="C792" s="9">
        <v>1963.0</v>
      </c>
      <c r="D792" s="8" t="s">
        <v>2718</v>
      </c>
      <c r="E792" s="18" t="s">
        <v>2719</v>
      </c>
      <c r="F792" s="8" t="s">
        <v>2440</v>
      </c>
      <c r="G792" s="9">
        <v>44483.0</v>
      </c>
      <c r="H792" s="21" t="s">
        <v>1173</v>
      </c>
      <c r="I792" s="21" t="s">
        <v>24</v>
      </c>
      <c r="J792" s="11">
        <v>99900.0</v>
      </c>
      <c r="K792" s="21" t="s">
        <v>25</v>
      </c>
      <c r="L792" s="25">
        <v>43967.0</v>
      </c>
      <c r="M792" s="14" t="s">
        <v>2720</v>
      </c>
      <c r="N792" s="10"/>
      <c r="O792" s="15">
        <f t="shared" si="1"/>
        <v>2020</v>
      </c>
      <c r="P792" s="16" t="str">
        <f t="shared" si="2"/>
        <v>USD</v>
      </c>
      <c r="Q792" s="15">
        <f>IFERROR(__xludf.DUMMYFUNCTION("IFNA(INDEX(GOOGLEFINANCE(""Currency:USD""&amp;$P792,""price"",DATE(YEAR($L792),MONTH($L792),DAY($L792))),2,2),LOOKUP(P792,CurrencyCodes,UnitsPerUSD))"),1.0)</f>
        <v>1</v>
      </c>
      <c r="R792" s="17">
        <f t="shared" si="3"/>
        <v>99900</v>
      </c>
    </row>
    <row r="793">
      <c r="A793" s="7">
        <v>44006.148977199075</v>
      </c>
      <c r="B793" s="18" t="s">
        <v>2721</v>
      </c>
      <c r="C793" s="19">
        <v>514.0</v>
      </c>
      <c r="D793" s="18" t="s">
        <v>2722</v>
      </c>
      <c r="E793" s="18" t="s">
        <v>2719</v>
      </c>
      <c r="F793" s="18" t="s">
        <v>2440</v>
      </c>
      <c r="G793" s="19">
        <v>44485.0</v>
      </c>
      <c r="H793" s="21" t="s">
        <v>1173</v>
      </c>
      <c r="I793" s="21" t="s">
        <v>39</v>
      </c>
      <c r="J793" s="11">
        <v>50000.0</v>
      </c>
      <c r="K793" s="21" t="s">
        <v>25</v>
      </c>
      <c r="L793" s="25">
        <v>40758.0</v>
      </c>
      <c r="M793" s="24" t="s">
        <v>2723</v>
      </c>
      <c r="N793" s="21" t="s">
        <v>2724</v>
      </c>
      <c r="O793" s="15">
        <f t="shared" si="1"/>
        <v>2011</v>
      </c>
      <c r="P793" s="16" t="str">
        <f t="shared" si="2"/>
        <v>USD</v>
      </c>
      <c r="Q793" s="15">
        <f>IFERROR(__xludf.DUMMYFUNCTION("IFNA(INDEX(GOOGLEFINANCE(""Currency:USD""&amp;$P793,""price"",DATE(YEAR($L793),MONTH($L793),DAY($L793))),2,2),LOOKUP(P793,CurrencyCodes,UnitsPerUSD))"),1.0)</f>
        <v>1</v>
      </c>
      <c r="R793" s="17">
        <f t="shared" si="3"/>
        <v>50000</v>
      </c>
    </row>
    <row r="794">
      <c r="A794" s="7">
        <v>43918.55736627315</v>
      </c>
      <c r="B794" s="8" t="s">
        <v>18</v>
      </c>
      <c r="C794" s="9">
        <v>13923.0</v>
      </c>
      <c r="D794" s="8" t="s">
        <v>2725</v>
      </c>
      <c r="E794" s="8" t="s">
        <v>2726</v>
      </c>
      <c r="F794" s="8" t="s">
        <v>2440</v>
      </c>
      <c r="G794" s="9">
        <v>43571.0</v>
      </c>
      <c r="H794" s="10" t="s">
        <v>1173</v>
      </c>
      <c r="I794" s="10" t="s">
        <v>24</v>
      </c>
      <c r="J794" s="11">
        <v>319900.0</v>
      </c>
      <c r="K794" s="12" t="s">
        <v>25</v>
      </c>
      <c r="L794" s="22"/>
      <c r="M794" s="28" t="s">
        <v>2727</v>
      </c>
      <c r="N794" s="12" t="s">
        <v>2728</v>
      </c>
      <c r="O794" s="15" t="str">
        <f t="shared" si="1"/>
        <v>Unknown</v>
      </c>
      <c r="P794" s="16" t="str">
        <f t="shared" si="2"/>
        <v>USD</v>
      </c>
      <c r="Q794" s="15">
        <f>IFERROR(__xludf.DUMMYFUNCTION("IFNA(INDEX(GOOGLEFINANCE(""Currency:USD""&amp;$P794,""price"",DATE(YEAR($L794),MONTH($L794),DAY($L794))),2,2),LOOKUP(P794,CurrencyCodes,UnitsPerUSD))"),1.0)</f>
        <v>1</v>
      </c>
      <c r="R794" s="17">
        <f t="shared" si="3"/>
        <v>319900</v>
      </c>
    </row>
    <row r="795">
      <c r="A795" s="7">
        <v>43918.557022673616</v>
      </c>
      <c r="B795" s="18" t="s">
        <v>18</v>
      </c>
      <c r="C795" s="9">
        <v>4095.0</v>
      </c>
      <c r="D795" s="18" t="s">
        <v>2729</v>
      </c>
      <c r="E795" s="18" t="s">
        <v>2730</v>
      </c>
      <c r="F795" s="8" t="s">
        <v>2440</v>
      </c>
      <c r="G795" s="9">
        <v>44094.0</v>
      </c>
      <c r="H795" s="21" t="s">
        <v>1173</v>
      </c>
      <c r="I795" s="21" t="s">
        <v>39</v>
      </c>
      <c r="J795" s="11">
        <v>170000.0</v>
      </c>
      <c r="K795" s="21" t="s">
        <v>25</v>
      </c>
      <c r="L795" s="25">
        <v>43297.0</v>
      </c>
      <c r="M795" s="31" t="s">
        <v>2731</v>
      </c>
      <c r="N795" s="21"/>
      <c r="O795" s="15">
        <f t="shared" si="1"/>
        <v>2018</v>
      </c>
      <c r="P795" s="16" t="str">
        <f t="shared" si="2"/>
        <v>USD</v>
      </c>
      <c r="Q795" s="15">
        <f>IFERROR(__xludf.DUMMYFUNCTION("IFNA(INDEX(GOOGLEFINANCE(""Currency:USD""&amp;$P795,""price"",DATE(YEAR($L795),MONTH($L795),DAY($L795))),2,2),LOOKUP(P795,CurrencyCodes,UnitsPerUSD))"),1.0)</f>
        <v>1</v>
      </c>
      <c r="R795" s="17">
        <f t="shared" si="3"/>
        <v>170000</v>
      </c>
    </row>
    <row r="796">
      <c r="A796" s="7">
        <v>44064.019497581015</v>
      </c>
      <c r="B796" s="8" t="s">
        <v>18</v>
      </c>
      <c r="C796" s="9">
        <v>831.0</v>
      </c>
      <c r="D796" s="8" t="s">
        <v>2500</v>
      </c>
      <c r="E796" s="8" t="s">
        <v>2732</v>
      </c>
      <c r="F796" s="8" t="s">
        <v>2440</v>
      </c>
      <c r="G796" s="9">
        <v>45215.0</v>
      </c>
      <c r="H796" s="10" t="s">
        <v>1173</v>
      </c>
      <c r="I796" s="10" t="s">
        <v>39</v>
      </c>
      <c r="J796" s="11">
        <v>215000.0</v>
      </c>
      <c r="K796" s="10" t="s">
        <v>25</v>
      </c>
      <c r="L796" s="25">
        <v>43538.0</v>
      </c>
      <c r="M796" s="14" t="s">
        <v>2733</v>
      </c>
      <c r="N796" s="10"/>
      <c r="O796" s="15">
        <f t="shared" si="1"/>
        <v>2019</v>
      </c>
      <c r="P796" s="16" t="str">
        <f t="shared" si="2"/>
        <v>USD</v>
      </c>
      <c r="Q796" s="15">
        <f>IFERROR(__xludf.DUMMYFUNCTION("IFNA(INDEX(GOOGLEFINANCE(""Currency:USD""&amp;$P796,""price"",DATE(YEAR($L796),MONTH($L796),DAY($L796))),2,2),LOOKUP(P796,CurrencyCodes,UnitsPerUSD))"),1.0)</f>
        <v>1</v>
      </c>
      <c r="R796" s="17">
        <f t="shared" si="3"/>
        <v>215000</v>
      </c>
    </row>
    <row r="797">
      <c r="A797" s="7">
        <v>44006.15533439815</v>
      </c>
      <c r="B797" s="18" t="s">
        <v>18</v>
      </c>
      <c r="C797" s="19">
        <v>12.0</v>
      </c>
      <c r="D797" s="18" t="s">
        <v>2734</v>
      </c>
      <c r="E797" s="18" t="s">
        <v>2735</v>
      </c>
      <c r="F797" s="18" t="s">
        <v>2440</v>
      </c>
      <c r="G797" s="9">
        <v>44507.0</v>
      </c>
      <c r="H797" s="21" t="s">
        <v>1173</v>
      </c>
      <c r="I797" s="21" t="s">
        <v>39</v>
      </c>
      <c r="J797" s="11">
        <v>71000.0</v>
      </c>
      <c r="K797" s="21" t="s">
        <v>25</v>
      </c>
      <c r="L797" s="25">
        <v>43392.0</v>
      </c>
      <c r="M797" s="24" t="s">
        <v>2736</v>
      </c>
      <c r="N797" s="27" t="s">
        <v>2737</v>
      </c>
      <c r="O797" s="15">
        <f t="shared" si="1"/>
        <v>2018</v>
      </c>
      <c r="P797" s="16" t="str">
        <f t="shared" si="2"/>
        <v>USD</v>
      </c>
      <c r="Q797" s="15">
        <f>IFERROR(__xludf.DUMMYFUNCTION("IFNA(INDEX(GOOGLEFINANCE(""Currency:USD""&amp;$P797,""price"",DATE(YEAR($L797),MONTH($L797),DAY($L797))),2,2),LOOKUP(P797,CurrencyCodes,UnitsPerUSD))"),1.0)</f>
        <v>1</v>
      </c>
      <c r="R797" s="17">
        <f t="shared" si="3"/>
        <v>71000</v>
      </c>
    </row>
    <row r="798">
      <c r="A798" s="7">
        <v>43905.48976074074</v>
      </c>
      <c r="B798" s="18" t="s">
        <v>18</v>
      </c>
      <c r="C798" s="19">
        <v>315.0</v>
      </c>
      <c r="D798" s="18" t="s">
        <v>2738</v>
      </c>
      <c r="E798" s="18" t="s">
        <v>2739</v>
      </c>
      <c r="F798" s="8" t="s">
        <v>2740</v>
      </c>
      <c r="G798" s="9">
        <v>73044.0</v>
      </c>
      <c r="H798" s="21" t="s">
        <v>1173</v>
      </c>
      <c r="I798" s="21" t="s">
        <v>24</v>
      </c>
      <c r="J798" s="11">
        <v>175000.0</v>
      </c>
      <c r="K798" s="27" t="s">
        <v>25</v>
      </c>
      <c r="L798" s="22"/>
      <c r="M798" s="31" t="s">
        <v>2741</v>
      </c>
      <c r="N798" s="21"/>
      <c r="O798" s="15" t="str">
        <f t="shared" si="1"/>
        <v>Unknown</v>
      </c>
      <c r="P798" s="16" t="str">
        <f t="shared" si="2"/>
        <v>USD</v>
      </c>
      <c r="Q798" s="15">
        <f>IFERROR(__xludf.DUMMYFUNCTION("IFNA(INDEX(GOOGLEFINANCE(""Currency:USD""&amp;$P798,""price"",DATE(YEAR($L798),MONTH($L798),DAY($L798))),2,2),LOOKUP(P798,CurrencyCodes,UnitsPerUSD))"),1.0)</f>
        <v>1</v>
      </c>
      <c r="R798" s="17">
        <f t="shared" si="3"/>
        <v>175000</v>
      </c>
    </row>
    <row r="799">
      <c r="A799" s="7">
        <v>43974.51761715278</v>
      </c>
      <c r="B799" s="8" t="s">
        <v>18</v>
      </c>
      <c r="C799" s="9">
        <v>502.0</v>
      </c>
      <c r="D799" s="8" t="s">
        <v>2742</v>
      </c>
      <c r="E799" s="8" t="s">
        <v>2743</v>
      </c>
      <c r="F799" s="8" t="s">
        <v>2740</v>
      </c>
      <c r="G799" s="9">
        <v>73052.0</v>
      </c>
      <c r="H799" s="10" t="s">
        <v>1173</v>
      </c>
      <c r="I799" s="10" t="s">
        <v>24</v>
      </c>
      <c r="J799" s="11">
        <v>45000.0</v>
      </c>
      <c r="K799" s="10" t="s">
        <v>25</v>
      </c>
      <c r="L799" s="25">
        <v>43651.0</v>
      </c>
      <c r="M799" s="14" t="s">
        <v>2744</v>
      </c>
      <c r="N799" s="10"/>
      <c r="O799" s="15">
        <f t="shared" si="1"/>
        <v>2019</v>
      </c>
      <c r="P799" s="16" t="str">
        <f t="shared" si="2"/>
        <v>USD</v>
      </c>
      <c r="Q799" s="15">
        <f>IFERROR(__xludf.DUMMYFUNCTION("IFNA(INDEX(GOOGLEFINANCE(""Currency:USD""&amp;$P799,""price"",DATE(YEAR($L799),MONTH($L799),DAY($L799))),2,2),LOOKUP(P799,CurrencyCodes,UnitsPerUSD))"),1.0)</f>
        <v>1</v>
      </c>
      <c r="R799" s="17">
        <f t="shared" si="3"/>
        <v>45000</v>
      </c>
    </row>
    <row r="800">
      <c r="A800" s="7">
        <v>43975.07698428241</v>
      </c>
      <c r="B800" s="8" t="s">
        <v>18</v>
      </c>
      <c r="C800" s="9">
        <v>402.0</v>
      </c>
      <c r="D800" s="8" t="s">
        <v>2745</v>
      </c>
      <c r="E800" s="8" t="s">
        <v>1460</v>
      </c>
      <c r="F800" s="8" t="s">
        <v>2740</v>
      </c>
      <c r="G800" s="9">
        <v>73077.0</v>
      </c>
      <c r="H800" s="10" t="s">
        <v>1173</v>
      </c>
      <c r="I800" s="10" t="s">
        <v>39</v>
      </c>
      <c r="J800" s="11">
        <v>67500.0</v>
      </c>
      <c r="K800" s="10" t="s">
        <v>25</v>
      </c>
      <c r="L800" s="25">
        <v>43304.0</v>
      </c>
      <c r="M800" s="14" t="s">
        <v>2746</v>
      </c>
      <c r="N800" s="10"/>
      <c r="O800" s="15">
        <f t="shared" si="1"/>
        <v>2018</v>
      </c>
      <c r="P800" s="16" t="str">
        <f t="shared" si="2"/>
        <v>USD</v>
      </c>
      <c r="Q800" s="15">
        <f>IFERROR(__xludf.DUMMYFUNCTION("IFNA(INDEX(GOOGLEFINANCE(""Currency:USD""&amp;$P800,""price"",DATE(YEAR($L800),MONTH($L800),DAY($L800))),2,2),LOOKUP(P800,CurrencyCodes,UnitsPerUSD))"),1.0)</f>
        <v>1</v>
      </c>
      <c r="R800" s="17">
        <f t="shared" si="3"/>
        <v>67500</v>
      </c>
    </row>
    <row r="801">
      <c r="A801" s="7">
        <v>43918.54692165509</v>
      </c>
      <c r="B801" s="18" t="s">
        <v>18</v>
      </c>
      <c r="C801" s="9">
        <v>12615.0</v>
      </c>
      <c r="D801" s="18" t="s">
        <v>2747</v>
      </c>
      <c r="E801" s="18" t="s">
        <v>2748</v>
      </c>
      <c r="F801" s="8" t="s">
        <v>2740</v>
      </c>
      <c r="G801" s="19">
        <v>74116.0</v>
      </c>
      <c r="H801" s="21" t="s">
        <v>1173</v>
      </c>
      <c r="I801" s="21" t="s">
        <v>39</v>
      </c>
      <c r="J801" s="11">
        <v>110000.0</v>
      </c>
      <c r="K801" s="21" t="s">
        <v>25</v>
      </c>
      <c r="L801" s="25">
        <v>40610.0</v>
      </c>
      <c r="M801" s="31" t="s">
        <v>2749</v>
      </c>
      <c r="N801" s="21"/>
      <c r="O801" s="15">
        <f t="shared" si="1"/>
        <v>2011</v>
      </c>
      <c r="P801" s="16" t="str">
        <f t="shared" si="2"/>
        <v>USD</v>
      </c>
      <c r="Q801" s="15">
        <f>IFERROR(__xludf.DUMMYFUNCTION("IFNA(INDEX(GOOGLEFINANCE(""Currency:USD""&amp;$P801,""price"",DATE(YEAR($L801),MONTH($L801),DAY($L801))),2,2),LOOKUP(P801,CurrencyCodes,UnitsPerUSD))"),1.0)</f>
        <v>1</v>
      </c>
      <c r="R801" s="17">
        <f t="shared" si="3"/>
        <v>110000</v>
      </c>
    </row>
    <row r="802">
      <c r="A802" s="7">
        <v>43898.57316134259</v>
      </c>
      <c r="B802" s="18" t="s">
        <v>18</v>
      </c>
      <c r="C802" s="19">
        <v>13533.0</v>
      </c>
      <c r="D802" s="18" t="s">
        <v>2750</v>
      </c>
      <c r="E802" s="18" t="s">
        <v>2751</v>
      </c>
      <c r="F802" s="18" t="s">
        <v>2752</v>
      </c>
      <c r="G802" s="19"/>
      <c r="H802" s="21" t="s">
        <v>1173</v>
      </c>
      <c r="I802" s="21" t="s">
        <v>39</v>
      </c>
      <c r="J802" s="11">
        <v>409000.0</v>
      </c>
      <c r="K802" s="21" t="s">
        <v>25</v>
      </c>
      <c r="L802" s="25">
        <v>43773.0</v>
      </c>
      <c r="M802" s="24" t="s">
        <v>2753</v>
      </c>
      <c r="N802" s="10" t="s">
        <v>2754</v>
      </c>
      <c r="O802" s="15">
        <f t="shared" si="1"/>
        <v>2019</v>
      </c>
      <c r="P802" s="16" t="str">
        <f t="shared" si="2"/>
        <v>USD</v>
      </c>
      <c r="Q802" s="15">
        <f>IFERROR(__xludf.DUMMYFUNCTION("IFNA(INDEX(GOOGLEFINANCE(""Currency:USD""&amp;$P802,""price"",DATE(YEAR($L802),MONTH($L802),DAY($L802))),2,2),LOOKUP(P802,CurrencyCodes,UnitsPerUSD))"),1.0)</f>
        <v>1</v>
      </c>
      <c r="R802" s="17">
        <f t="shared" si="3"/>
        <v>409000</v>
      </c>
    </row>
    <row r="803">
      <c r="A803" s="7">
        <v>43897.705094895835</v>
      </c>
      <c r="B803" s="8" t="s">
        <v>18</v>
      </c>
      <c r="C803" s="9">
        <v>37750.0</v>
      </c>
      <c r="D803" s="8" t="s">
        <v>2755</v>
      </c>
      <c r="E803" s="8" t="s">
        <v>2756</v>
      </c>
      <c r="F803" s="8" t="s">
        <v>2752</v>
      </c>
      <c r="G803" s="9"/>
      <c r="H803" s="10" t="s">
        <v>1173</v>
      </c>
      <c r="I803" s="10" t="s">
        <v>39</v>
      </c>
      <c r="J803" s="11">
        <v>265000.0</v>
      </c>
      <c r="K803" s="10" t="s">
        <v>25</v>
      </c>
      <c r="L803" s="25">
        <v>43383.0</v>
      </c>
      <c r="M803" s="10"/>
      <c r="N803" s="10"/>
      <c r="O803" s="15">
        <f t="shared" si="1"/>
        <v>2018</v>
      </c>
      <c r="P803" s="16" t="str">
        <f t="shared" si="2"/>
        <v>USD</v>
      </c>
      <c r="Q803" s="15">
        <f>IFERROR(__xludf.DUMMYFUNCTION("IFNA(INDEX(GOOGLEFINANCE(""Currency:USD""&amp;$P803,""price"",DATE(YEAR($L803),MONTH($L803),DAY($L803))),2,2),LOOKUP(P803,CurrencyCodes,UnitsPerUSD))"),1.0)</f>
        <v>1</v>
      </c>
      <c r="R803" s="17">
        <f t="shared" si="3"/>
        <v>265000</v>
      </c>
    </row>
    <row r="804">
      <c r="A804" s="7">
        <v>43975.44264679398</v>
      </c>
      <c r="B804" s="8" t="s">
        <v>18</v>
      </c>
      <c r="C804" s="9">
        <v>539.0</v>
      </c>
      <c r="D804" s="8" t="s">
        <v>2757</v>
      </c>
      <c r="E804" s="8" t="s">
        <v>2758</v>
      </c>
      <c r="F804" s="8" t="s">
        <v>2752</v>
      </c>
      <c r="G804" s="9">
        <v>97435.0</v>
      </c>
      <c r="H804" s="10" t="s">
        <v>1173</v>
      </c>
      <c r="I804" s="10" t="s">
        <v>24</v>
      </c>
      <c r="J804" s="11">
        <v>139000.0</v>
      </c>
      <c r="K804" s="10" t="s">
        <v>25</v>
      </c>
      <c r="L804" s="25">
        <v>43957.0</v>
      </c>
      <c r="M804" s="28" t="s">
        <v>2759</v>
      </c>
      <c r="N804" s="12" t="s">
        <v>2760</v>
      </c>
      <c r="O804" s="15">
        <f t="shared" si="1"/>
        <v>2020</v>
      </c>
      <c r="P804" s="16" t="str">
        <f t="shared" si="2"/>
        <v>USD</v>
      </c>
      <c r="Q804" s="15">
        <f>IFERROR(__xludf.DUMMYFUNCTION("IFNA(INDEX(GOOGLEFINANCE(""Currency:USD""&amp;$P804,""price"",DATE(YEAR($L804),MONTH($L804),DAY($L804))),2,2),LOOKUP(P804,CurrencyCodes,UnitsPerUSD))"),1.0)</f>
        <v>1</v>
      </c>
      <c r="R804" s="17">
        <f t="shared" si="3"/>
        <v>139000</v>
      </c>
    </row>
    <row r="805">
      <c r="A805" s="7">
        <v>43913.78510576389</v>
      </c>
      <c r="B805" s="18" t="s">
        <v>18</v>
      </c>
      <c r="C805" s="9">
        <v>1113.0</v>
      </c>
      <c r="D805" s="8" t="s">
        <v>2761</v>
      </c>
      <c r="E805" s="18" t="s">
        <v>2762</v>
      </c>
      <c r="F805" s="18" t="s">
        <v>2752</v>
      </c>
      <c r="G805" s="9">
        <v>97862.0</v>
      </c>
      <c r="H805" s="21" t="s">
        <v>1173</v>
      </c>
      <c r="I805" s="21" t="s">
        <v>24</v>
      </c>
      <c r="J805" s="11">
        <v>315000.0</v>
      </c>
      <c r="K805" s="21" t="s">
        <v>25</v>
      </c>
      <c r="L805" s="25">
        <v>43891.0</v>
      </c>
      <c r="M805" s="14" t="s">
        <v>2763</v>
      </c>
      <c r="N805" s="21"/>
      <c r="O805" s="15">
        <f t="shared" si="1"/>
        <v>2020</v>
      </c>
      <c r="P805" s="16" t="str">
        <f t="shared" si="2"/>
        <v>USD</v>
      </c>
      <c r="Q805" s="15">
        <f>IFERROR(__xludf.DUMMYFUNCTION("IFNA(INDEX(GOOGLEFINANCE(""Currency:USD""&amp;$P805,""price"",DATE(YEAR($L805),MONTH($L805),DAY($L805))),2,2),LOOKUP(P805,CurrencyCodes,UnitsPerUSD))"),1.0)</f>
        <v>1</v>
      </c>
      <c r="R805" s="17">
        <f t="shared" si="3"/>
        <v>315000</v>
      </c>
    </row>
    <row r="806">
      <c r="A806" s="7">
        <v>43913.80567233796</v>
      </c>
      <c r="B806" s="18" t="s">
        <v>18</v>
      </c>
      <c r="C806" s="19">
        <v>704.0</v>
      </c>
      <c r="D806" s="18" t="s">
        <v>2764</v>
      </c>
      <c r="E806" s="18" t="s">
        <v>2765</v>
      </c>
      <c r="F806" s="18" t="s">
        <v>2752</v>
      </c>
      <c r="G806" s="19">
        <v>97038.0</v>
      </c>
      <c r="H806" s="21" t="s">
        <v>1173</v>
      </c>
      <c r="I806" s="21" t="s">
        <v>39</v>
      </c>
      <c r="J806" s="11">
        <v>266000.0</v>
      </c>
      <c r="K806" s="21" t="s">
        <v>25</v>
      </c>
      <c r="L806" s="25">
        <v>43647.0</v>
      </c>
      <c r="M806" s="24" t="s">
        <v>2766</v>
      </c>
      <c r="N806" s="27" t="s">
        <v>2767</v>
      </c>
      <c r="O806" s="15">
        <f t="shared" si="1"/>
        <v>2019</v>
      </c>
      <c r="P806" s="16" t="str">
        <f t="shared" si="2"/>
        <v>USD</v>
      </c>
      <c r="Q806" s="15">
        <f>IFERROR(__xludf.DUMMYFUNCTION("IFNA(INDEX(GOOGLEFINANCE(""Currency:USD""&amp;$P806,""price"",DATE(YEAR($L806),MONTH($L806),DAY($L806))),2,2),LOOKUP(P806,CurrencyCodes,UnitsPerUSD))"),1.0)</f>
        <v>1</v>
      </c>
      <c r="R806" s="17">
        <f t="shared" si="3"/>
        <v>266000</v>
      </c>
    </row>
    <row r="807">
      <c r="A807" s="7">
        <v>43918.38397210649</v>
      </c>
      <c r="B807" s="18" t="s">
        <v>18</v>
      </c>
      <c r="C807" s="19">
        <v>181.0</v>
      </c>
      <c r="D807" s="18" t="s">
        <v>2768</v>
      </c>
      <c r="E807" s="18" t="s">
        <v>2769</v>
      </c>
      <c r="F807" s="18" t="s">
        <v>2752</v>
      </c>
      <c r="G807" s="19">
        <v>97537.0</v>
      </c>
      <c r="H807" s="21" t="s">
        <v>1173</v>
      </c>
      <c r="I807" s="21" t="s">
        <v>39</v>
      </c>
      <c r="J807" s="11">
        <v>188800.0</v>
      </c>
      <c r="K807" s="21" t="s">
        <v>25</v>
      </c>
      <c r="L807" s="25">
        <v>43368.0</v>
      </c>
      <c r="M807" s="31" t="s">
        <v>2770</v>
      </c>
      <c r="N807" s="21"/>
      <c r="O807" s="15">
        <f t="shared" si="1"/>
        <v>2018</v>
      </c>
      <c r="P807" s="16" t="str">
        <f t="shared" si="2"/>
        <v>USD</v>
      </c>
      <c r="Q807" s="15">
        <f>IFERROR(__xludf.DUMMYFUNCTION("IFNA(INDEX(GOOGLEFINANCE(""Currency:USD""&amp;$P807,""price"",DATE(YEAR($L807),MONTH($L807),DAY($L807))),2,2),LOOKUP(P807,CurrencyCodes,UnitsPerUSD))"),1.0)</f>
        <v>1</v>
      </c>
      <c r="R807" s="17">
        <f t="shared" si="3"/>
        <v>188800</v>
      </c>
    </row>
    <row r="808">
      <c r="A808" s="7">
        <v>43919.51624442129</v>
      </c>
      <c r="B808" s="18" t="s">
        <v>18</v>
      </c>
      <c r="C808" s="19">
        <v>1726.0</v>
      </c>
      <c r="D808" s="18" t="s">
        <v>2771</v>
      </c>
      <c r="E808" s="18" t="s">
        <v>2772</v>
      </c>
      <c r="F808" s="18" t="s">
        <v>2752</v>
      </c>
      <c r="G808" s="19">
        <v>97381.0</v>
      </c>
      <c r="H808" s="21" t="s">
        <v>1173</v>
      </c>
      <c r="I808" s="21" t="s">
        <v>39</v>
      </c>
      <c r="J808" s="11">
        <v>340000.0</v>
      </c>
      <c r="K808" s="21" t="s">
        <v>25</v>
      </c>
      <c r="L808" s="25">
        <v>43823.0</v>
      </c>
      <c r="M808" s="24" t="s">
        <v>2773</v>
      </c>
      <c r="N808" s="12" t="s">
        <v>2774</v>
      </c>
      <c r="O808" s="15">
        <f t="shared" si="1"/>
        <v>2019</v>
      </c>
      <c r="P808" s="16" t="str">
        <f t="shared" si="2"/>
        <v>USD</v>
      </c>
      <c r="Q808" s="15">
        <f>IFERROR(__xludf.DUMMYFUNCTION("IFNA(INDEX(GOOGLEFINANCE(""Currency:USD""&amp;$P808,""price"",DATE(YEAR($L808),MONTH($L808),DAY($L808))),2,2),LOOKUP(P808,CurrencyCodes,UnitsPerUSD))"),1.0)</f>
        <v>1</v>
      </c>
      <c r="R808" s="17">
        <f t="shared" si="3"/>
        <v>340000</v>
      </c>
    </row>
    <row r="809">
      <c r="A809" s="7">
        <v>43896.883964085646</v>
      </c>
      <c r="B809" s="18" t="s">
        <v>18</v>
      </c>
      <c r="C809" s="19">
        <v>347.0</v>
      </c>
      <c r="D809" s="18" t="s">
        <v>2775</v>
      </c>
      <c r="E809" s="18" t="s">
        <v>2776</v>
      </c>
      <c r="F809" s="18" t="s">
        <v>2777</v>
      </c>
      <c r="G809" s="19"/>
      <c r="H809" s="21" t="s">
        <v>1173</v>
      </c>
      <c r="I809" s="21" t="s">
        <v>39</v>
      </c>
      <c r="J809" s="11">
        <v>350000.0</v>
      </c>
      <c r="K809" s="27" t="s">
        <v>25</v>
      </c>
      <c r="L809" s="22"/>
      <c r="M809" s="21"/>
      <c r="N809" s="10"/>
      <c r="O809" s="15" t="str">
        <f t="shared" si="1"/>
        <v>Unknown</v>
      </c>
      <c r="P809" s="16" t="str">
        <f t="shared" si="2"/>
        <v>USD</v>
      </c>
      <c r="Q809" s="15">
        <f>IFERROR(__xludf.DUMMYFUNCTION("IFNA(INDEX(GOOGLEFINANCE(""Currency:USD""&amp;$P809,""price"",DATE(YEAR($L809),MONTH($L809),DAY($L809))),2,2),LOOKUP(P809,CurrencyCodes,UnitsPerUSD))"),1.0)</f>
        <v>1</v>
      </c>
      <c r="R809" s="17">
        <f t="shared" si="3"/>
        <v>350000</v>
      </c>
    </row>
    <row r="810">
      <c r="A810" s="7">
        <v>43974.51452784722</v>
      </c>
      <c r="B810" s="8" t="s">
        <v>18</v>
      </c>
      <c r="C810" s="9">
        <v>8221.0</v>
      </c>
      <c r="D810" s="8" t="s">
        <v>2778</v>
      </c>
      <c r="E810" s="8" t="s">
        <v>2779</v>
      </c>
      <c r="F810" s="8" t="s">
        <v>2777</v>
      </c>
      <c r="G810" s="9">
        <v>19504.0</v>
      </c>
      <c r="H810" s="10" t="s">
        <v>1173</v>
      </c>
      <c r="I810" s="10" t="s">
        <v>24</v>
      </c>
      <c r="J810" s="11">
        <v>479000.0</v>
      </c>
      <c r="K810" s="10" t="s">
        <v>25</v>
      </c>
      <c r="L810" s="25">
        <v>43684.0</v>
      </c>
      <c r="M810" s="14" t="s">
        <v>2780</v>
      </c>
      <c r="N810" s="10"/>
      <c r="O810" s="15">
        <f t="shared" si="1"/>
        <v>2019</v>
      </c>
      <c r="P810" s="16" t="str">
        <f t="shared" si="2"/>
        <v>USD</v>
      </c>
      <c r="Q810" s="15">
        <f>IFERROR(__xludf.DUMMYFUNCTION("IFNA(INDEX(GOOGLEFINANCE(""Currency:USD""&amp;$P810,""price"",DATE(YEAR($L810),MONTH($L810),DAY($L810))),2,2),LOOKUP(P810,CurrencyCodes,UnitsPerUSD))"),1.0)</f>
        <v>1</v>
      </c>
      <c r="R810" s="17">
        <f t="shared" si="3"/>
        <v>479000</v>
      </c>
    </row>
    <row r="811">
      <c r="A811" s="7">
        <v>43900.880053182875</v>
      </c>
      <c r="B811" s="18" t="s">
        <v>18</v>
      </c>
      <c r="C811" s="19">
        <v>5822.0</v>
      </c>
      <c r="D811" s="18" t="s">
        <v>2781</v>
      </c>
      <c r="E811" s="18" t="s">
        <v>2782</v>
      </c>
      <c r="F811" s="18" t="s">
        <v>2777</v>
      </c>
      <c r="G811" s="9">
        <v>15102.0</v>
      </c>
      <c r="H811" s="21" t="s">
        <v>1173</v>
      </c>
      <c r="I811" s="21" t="s">
        <v>39</v>
      </c>
      <c r="J811" s="11">
        <v>413000.0</v>
      </c>
      <c r="K811" s="21" t="s">
        <v>25</v>
      </c>
      <c r="L811" s="25">
        <v>43773.0</v>
      </c>
      <c r="M811" s="24" t="s">
        <v>2783</v>
      </c>
      <c r="N811" s="12" t="s">
        <v>2784</v>
      </c>
      <c r="O811" s="15">
        <f t="shared" si="1"/>
        <v>2019</v>
      </c>
      <c r="P811" s="16" t="str">
        <f t="shared" si="2"/>
        <v>USD</v>
      </c>
      <c r="Q811" s="15">
        <f>IFERROR(__xludf.DUMMYFUNCTION("IFNA(INDEX(GOOGLEFINANCE(""Currency:USD""&amp;$P811,""price"",DATE(YEAR($L811),MONTH($L811),DAY($L811))),2,2),LOOKUP(P811,CurrencyCodes,UnitsPerUSD))"),1.0)</f>
        <v>1</v>
      </c>
      <c r="R811" s="17">
        <f t="shared" si="3"/>
        <v>413000</v>
      </c>
    </row>
    <row r="812">
      <c r="A812" s="7">
        <v>44029.26645203704</v>
      </c>
      <c r="B812" s="8" t="s">
        <v>18</v>
      </c>
      <c r="C812" s="9" t="s">
        <v>2785</v>
      </c>
      <c r="D812" s="8" t="s">
        <v>2786</v>
      </c>
      <c r="E812" s="8" t="s">
        <v>2787</v>
      </c>
      <c r="F812" s="8" t="s">
        <v>2777</v>
      </c>
      <c r="G812" s="9">
        <v>17815.0</v>
      </c>
      <c r="H812" s="10" t="s">
        <v>1173</v>
      </c>
      <c r="I812" s="10" t="s">
        <v>39</v>
      </c>
      <c r="J812" s="11">
        <v>499900.0</v>
      </c>
      <c r="K812" s="12" t="s">
        <v>25</v>
      </c>
      <c r="L812" s="13"/>
      <c r="M812" s="28" t="s">
        <v>2788</v>
      </c>
      <c r="N812" s="12" t="s">
        <v>2789</v>
      </c>
      <c r="O812" s="15" t="str">
        <f t="shared" si="1"/>
        <v>Unknown</v>
      </c>
      <c r="P812" s="16" t="str">
        <f t="shared" si="2"/>
        <v>USD</v>
      </c>
      <c r="Q812" s="15">
        <f>IFERROR(__xludf.DUMMYFUNCTION("IFNA(INDEX(GOOGLEFINANCE(""Currency:USD""&amp;$P812,""price"",DATE(YEAR($L812),MONTH($L812),DAY($L812))),2,2),LOOKUP(P812,CurrencyCodes,UnitsPerUSD))"),1.0)</f>
        <v>1</v>
      </c>
      <c r="R812" s="17">
        <f t="shared" si="3"/>
        <v>499900</v>
      </c>
    </row>
    <row r="813">
      <c r="A813" s="7">
        <v>44029.279120625</v>
      </c>
      <c r="B813" s="8" t="s">
        <v>18</v>
      </c>
      <c r="C813" s="9">
        <v>1223.0</v>
      </c>
      <c r="D813" s="8" t="s">
        <v>1514</v>
      </c>
      <c r="E813" s="8" t="s">
        <v>2790</v>
      </c>
      <c r="F813" s="8" t="s">
        <v>2777</v>
      </c>
      <c r="G813" s="9">
        <v>16701.0</v>
      </c>
      <c r="H813" s="10" t="s">
        <v>1173</v>
      </c>
      <c r="I813" s="10" t="s">
        <v>39</v>
      </c>
      <c r="J813" s="11">
        <v>0.0</v>
      </c>
      <c r="K813" s="12" t="s">
        <v>25</v>
      </c>
      <c r="L813" s="13"/>
      <c r="M813" s="10"/>
      <c r="N813" s="12" t="s">
        <v>2791</v>
      </c>
      <c r="O813" s="15" t="str">
        <f t="shared" si="1"/>
        <v>Unknown</v>
      </c>
      <c r="P813" s="16" t="str">
        <f t="shared" si="2"/>
        <v>USD</v>
      </c>
      <c r="Q813" s="15">
        <f>IFERROR(__xludf.DUMMYFUNCTION("IFNA(INDEX(GOOGLEFINANCE(""Currency:USD""&amp;$P813,""price"",DATE(YEAR($L813),MONTH($L813),DAY($L813))),2,2),LOOKUP(P813,CurrencyCodes,UnitsPerUSD))"),1.0)</f>
        <v>1</v>
      </c>
      <c r="R813" s="17">
        <f t="shared" si="3"/>
        <v>0</v>
      </c>
    </row>
    <row r="814">
      <c r="A814" s="7">
        <v>44029.2907212037</v>
      </c>
      <c r="B814" s="8" t="s">
        <v>18</v>
      </c>
      <c r="C814" s="9">
        <v>4842.0</v>
      </c>
      <c r="D814" s="8" t="s">
        <v>2792</v>
      </c>
      <c r="E814" s="8" t="s">
        <v>2793</v>
      </c>
      <c r="F814" s="8" t="s">
        <v>2777</v>
      </c>
      <c r="G814" s="9">
        <v>15015.0</v>
      </c>
      <c r="H814" s="10" t="s">
        <v>1173</v>
      </c>
      <c r="I814" s="10" t="s">
        <v>39</v>
      </c>
      <c r="J814" s="11">
        <v>177000.0</v>
      </c>
      <c r="K814" s="10" t="s">
        <v>25</v>
      </c>
      <c r="L814" s="25">
        <v>39246.0</v>
      </c>
      <c r="M814" s="28" t="s">
        <v>2794</v>
      </c>
      <c r="N814" s="12" t="s">
        <v>2795</v>
      </c>
      <c r="O814" s="15">
        <f t="shared" si="1"/>
        <v>2007</v>
      </c>
      <c r="P814" s="16" t="str">
        <f t="shared" si="2"/>
        <v>USD</v>
      </c>
      <c r="Q814" s="15">
        <f>IFERROR(__xludf.DUMMYFUNCTION("IFNA(INDEX(GOOGLEFINANCE(""Currency:USD""&amp;$P814,""price"",DATE(YEAR($L814),MONTH($L814),DAY($L814))),2,2),LOOKUP(P814,CurrencyCodes,UnitsPerUSD))"),1.0)</f>
        <v>1</v>
      </c>
      <c r="R814" s="17">
        <f t="shared" si="3"/>
        <v>177000</v>
      </c>
    </row>
    <row r="815">
      <c r="A815" s="7">
        <v>43897.233978240736</v>
      </c>
      <c r="B815" s="18" t="s">
        <v>18</v>
      </c>
      <c r="C815" s="19">
        <v>1001.0</v>
      </c>
      <c r="D815" s="18" t="s">
        <v>2796</v>
      </c>
      <c r="E815" s="18" t="s">
        <v>2797</v>
      </c>
      <c r="F815" s="18" t="s">
        <v>2777</v>
      </c>
      <c r="G815" s="19"/>
      <c r="H815" s="21" t="s">
        <v>1173</v>
      </c>
      <c r="I815" s="21" t="s">
        <v>39</v>
      </c>
      <c r="J815" s="11">
        <v>130000.0</v>
      </c>
      <c r="K815" s="21" t="s">
        <v>25</v>
      </c>
      <c r="L815" s="25">
        <v>43291.0</v>
      </c>
      <c r="M815" s="21"/>
      <c r="N815" s="21"/>
      <c r="O815" s="15">
        <f t="shared" si="1"/>
        <v>2018</v>
      </c>
      <c r="P815" s="16" t="str">
        <f t="shared" si="2"/>
        <v>USD</v>
      </c>
      <c r="Q815" s="15">
        <f>IFERROR(__xludf.DUMMYFUNCTION("IFNA(INDEX(GOOGLEFINANCE(""Currency:USD""&amp;$P815,""price"",DATE(YEAR($L815),MONTH($L815),DAY($L815))),2,2),LOOKUP(P815,CurrencyCodes,UnitsPerUSD))"),1.0)</f>
        <v>1</v>
      </c>
      <c r="R815" s="17">
        <f t="shared" si="3"/>
        <v>130000</v>
      </c>
    </row>
    <row r="816">
      <c r="A816" s="7">
        <v>44029.2950349537</v>
      </c>
      <c r="B816" s="8" t="s">
        <v>18</v>
      </c>
      <c r="C816" s="9">
        <v>932.0</v>
      </c>
      <c r="D816" s="8" t="s">
        <v>2798</v>
      </c>
      <c r="E816" s="8" t="s">
        <v>2799</v>
      </c>
      <c r="F816" s="8" t="s">
        <v>2777</v>
      </c>
      <c r="G816" s="9">
        <v>16001.0</v>
      </c>
      <c r="H816" s="10" t="s">
        <v>1173</v>
      </c>
      <c r="I816" s="10" t="s">
        <v>39</v>
      </c>
      <c r="J816" s="11">
        <v>0.0</v>
      </c>
      <c r="K816" s="12" t="s">
        <v>25</v>
      </c>
      <c r="L816" s="13"/>
      <c r="M816" s="28" t="s">
        <v>2800</v>
      </c>
      <c r="N816" s="12" t="s">
        <v>2801</v>
      </c>
      <c r="O816" s="15" t="str">
        <f t="shared" si="1"/>
        <v>Unknown</v>
      </c>
      <c r="P816" s="16" t="str">
        <f t="shared" si="2"/>
        <v>USD</v>
      </c>
      <c r="Q816" s="15">
        <f>IFERROR(__xludf.DUMMYFUNCTION("IFNA(INDEX(GOOGLEFINANCE(""Currency:USD""&amp;$P816,""price"",DATE(YEAR($L816),MONTH($L816),DAY($L816))),2,2),LOOKUP(P816,CurrencyCodes,UnitsPerUSD))"),1.0)</f>
        <v>1</v>
      </c>
      <c r="R816" s="17">
        <f t="shared" si="3"/>
        <v>0</v>
      </c>
    </row>
    <row r="817">
      <c r="A817" s="7">
        <v>44029.30824100695</v>
      </c>
      <c r="B817" s="8" t="s">
        <v>18</v>
      </c>
      <c r="C817" s="9">
        <v>330.0</v>
      </c>
      <c r="D817" s="8" t="s">
        <v>2802</v>
      </c>
      <c r="E817" s="8" t="s">
        <v>2803</v>
      </c>
      <c r="F817" s="8" t="s">
        <v>2777</v>
      </c>
      <c r="G817" s="9">
        <v>15317.0</v>
      </c>
      <c r="H817" s="10" t="s">
        <v>1173</v>
      </c>
      <c r="I817" s="10" t="s">
        <v>39</v>
      </c>
      <c r="J817" s="11">
        <v>0.0</v>
      </c>
      <c r="K817" s="12" t="s">
        <v>25</v>
      </c>
      <c r="L817" s="13"/>
      <c r="M817" s="10"/>
      <c r="N817" s="12" t="s">
        <v>2804</v>
      </c>
      <c r="O817" s="15" t="str">
        <f t="shared" si="1"/>
        <v>Unknown</v>
      </c>
      <c r="P817" s="16" t="str">
        <f t="shared" si="2"/>
        <v>USD</v>
      </c>
      <c r="Q817" s="15">
        <f>IFERROR(__xludf.DUMMYFUNCTION("IFNA(INDEX(GOOGLEFINANCE(""Currency:USD""&amp;$P817,""price"",DATE(YEAR($L817),MONTH($L817),DAY($L817))),2,2),LOOKUP(P817,CurrencyCodes,UnitsPerUSD))"),1.0)</f>
        <v>1</v>
      </c>
      <c r="R817" s="17">
        <f t="shared" si="3"/>
        <v>0</v>
      </c>
    </row>
    <row r="818">
      <c r="A818" s="7">
        <v>44033.06508799769</v>
      </c>
      <c r="B818" s="8" t="s">
        <v>18</v>
      </c>
      <c r="C818" s="9">
        <v>630.0</v>
      </c>
      <c r="D818" s="8" t="s">
        <v>2805</v>
      </c>
      <c r="E818" s="8" t="s">
        <v>2806</v>
      </c>
      <c r="F818" s="8" t="s">
        <v>2777</v>
      </c>
      <c r="G818" s="9">
        <v>17202.0</v>
      </c>
      <c r="H818" s="10" t="s">
        <v>1173</v>
      </c>
      <c r="I818" s="10" t="s">
        <v>39</v>
      </c>
      <c r="J818" s="11">
        <v>0.0</v>
      </c>
      <c r="K818" s="12" t="s">
        <v>25</v>
      </c>
      <c r="L818" s="13"/>
      <c r="M818" s="28" t="s">
        <v>2807</v>
      </c>
      <c r="N818" s="12" t="s">
        <v>2808</v>
      </c>
      <c r="O818" s="15" t="str">
        <f t="shared" si="1"/>
        <v>Unknown</v>
      </c>
      <c r="P818" s="16" t="str">
        <f t="shared" si="2"/>
        <v>USD</v>
      </c>
      <c r="Q818" s="15">
        <f>IFERROR(__xludf.DUMMYFUNCTION("IFNA(INDEX(GOOGLEFINANCE(""Currency:USD""&amp;$P818,""price"",DATE(YEAR($L818),MONTH($L818),DAY($L818))),2,2),LOOKUP(P818,CurrencyCodes,UnitsPerUSD))"),1.0)</f>
        <v>1</v>
      </c>
      <c r="R818" s="17">
        <f t="shared" si="3"/>
        <v>0</v>
      </c>
    </row>
    <row r="819">
      <c r="A819" s="7">
        <v>43900.94616365741</v>
      </c>
      <c r="B819" s="18" t="s">
        <v>18</v>
      </c>
      <c r="C819" s="19">
        <v>851.0</v>
      </c>
      <c r="D819" s="18" t="s">
        <v>2809</v>
      </c>
      <c r="E819" s="18" t="s">
        <v>2810</v>
      </c>
      <c r="F819" s="18" t="s">
        <v>2777</v>
      </c>
      <c r="G819" s="9">
        <v>19013.0</v>
      </c>
      <c r="H819" s="21" t="s">
        <v>1173</v>
      </c>
      <c r="I819" s="21" t="s">
        <v>39</v>
      </c>
      <c r="J819" s="11">
        <v>275000.0</v>
      </c>
      <c r="K819" s="21" t="s">
        <v>25</v>
      </c>
      <c r="L819" s="25">
        <v>41040.0</v>
      </c>
      <c r="M819" s="28" t="s">
        <v>2811</v>
      </c>
      <c r="N819" s="12" t="s">
        <v>2812</v>
      </c>
      <c r="O819" s="15">
        <f t="shared" si="1"/>
        <v>2012</v>
      </c>
      <c r="P819" s="16" t="str">
        <f t="shared" si="2"/>
        <v>USD</v>
      </c>
      <c r="Q819" s="15">
        <f>IFERROR(__xludf.DUMMYFUNCTION("IFNA(INDEX(GOOGLEFINANCE(""Currency:USD""&amp;$P819,""price"",DATE(YEAR($L819),MONTH($L819),DAY($L819))),2,2),LOOKUP(P819,CurrencyCodes,UnitsPerUSD))"),1.0)</f>
        <v>1</v>
      </c>
      <c r="R819" s="17">
        <f t="shared" si="3"/>
        <v>275000</v>
      </c>
    </row>
    <row r="820">
      <c r="A820" s="7">
        <v>44033.06742248843</v>
      </c>
      <c r="B820" s="8" t="s">
        <v>18</v>
      </c>
      <c r="C820" s="9">
        <v>490.0</v>
      </c>
      <c r="D820" s="8" t="s">
        <v>2813</v>
      </c>
      <c r="E820" s="8" t="s">
        <v>2814</v>
      </c>
      <c r="F820" s="8" t="s">
        <v>2777</v>
      </c>
      <c r="G820" s="9">
        <v>15024.0</v>
      </c>
      <c r="H820" s="10" t="s">
        <v>1173</v>
      </c>
      <c r="I820" s="10" t="s">
        <v>39</v>
      </c>
      <c r="J820" s="11">
        <v>250000.0</v>
      </c>
      <c r="K820" s="10" t="s">
        <v>25</v>
      </c>
      <c r="L820" s="25">
        <v>43475.0</v>
      </c>
      <c r="M820" s="14" t="s">
        <v>2815</v>
      </c>
      <c r="N820" s="10"/>
      <c r="O820" s="15">
        <f t="shared" si="1"/>
        <v>2019</v>
      </c>
      <c r="P820" s="16" t="str">
        <f t="shared" si="2"/>
        <v>USD</v>
      </c>
      <c r="Q820" s="15">
        <f>IFERROR(__xludf.DUMMYFUNCTION("IFNA(INDEX(GOOGLEFINANCE(""Currency:USD""&amp;$P820,""price"",DATE(YEAR($L820),MONTH($L820),DAY($L820))),2,2),LOOKUP(P820,CurrencyCodes,UnitsPerUSD))"),1.0)</f>
        <v>1</v>
      </c>
      <c r="R820" s="17">
        <f t="shared" si="3"/>
        <v>250000</v>
      </c>
    </row>
    <row r="821">
      <c r="A821" s="7">
        <v>44034.120926539355</v>
      </c>
      <c r="B821" s="8" t="s">
        <v>18</v>
      </c>
      <c r="C821" s="9">
        <v>400.0</v>
      </c>
      <c r="D821" s="8" t="s">
        <v>2816</v>
      </c>
      <c r="E821" s="8" t="s">
        <v>2817</v>
      </c>
      <c r="F821" s="8" t="s">
        <v>2777</v>
      </c>
      <c r="G821" s="9">
        <v>16830.0</v>
      </c>
      <c r="H821" s="10" t="s">
        <v>1173</v>
      </c>
      <c r="I821" s="10" t="s">
        <v>39</v>
      </c>
      <c r="J821" s="11">
        <v>105000.0</v>
      </c>
      <c r="K821" s="10" t="s">
        <v>25</v>
      </c>
      <c r="L821" s="25">
        <v>39787.0</v>
      </c>
      <c r="M821" s="28" t="s">
        <v>2818</v>
      </c>
      <c r="N821" s="12" t="s">
        <v>2819</v>
      </c>
      <c r="O821" s="15">
        <f t="shared" si="1"/>
        <v>2008</v>
      </c>
      <c r="P821" s="16" t="str">
        <f t="shared" si="2"/>
        <v>USD</v>
      </c>
      <c r="Q821" s="15">
        <f>IFERROR(__xludf.DUMMYFUNCTION("IFNA(INDEX(GOOGLEFINANCE(""Currency:USD""&amp;$P821,""price"",DATE(YEAR($L821),MONTH($L821),DAY($L821))),2,2),LOOKUP(P821,CurrencyCodes,UnitsPerUSD))"),1.0)</f>
        <v>1</v>
      </c>
      <c r="R821" s="17">
        <f t="shared" si="3"/>
        <v>105000</v>
      </c>
    </row>
    <row r="822">
      <c r="A822" s="7">
        <v>44034.125244270836</v>
      </c>
      <c r="B822" s="8" t="s">
        <v>18</v>
      </c>
      <c r="C822" s="9">
        <v>140.0</v>
      </c>
      <c r="D822" s="8" t="s">
        <v>2820</v>
      </c>
      <c r="E822" s="8" t="s">
        <v>2821</v>
      </c>
      <c r="F822" s="8" t="s">
        <v>2777</v>
      </c>
      <c r="G822" s="9">
        <v>19428.0</v>
      </c>
      <c r="H822" s="10" t="s">
        <v>1173</v>
      </c>
      <c r="I822" s="10" t="s">
        <v>39</v>
      </c>
      <c r="J822" s="11">
        <v>260000.0</v>
      </c>
      <c r="K822" s="10" t="s">
        <v>25</v>
      </c>
      <c r="L822" s="25">
        <v>41522.0</v>
      </c>
      <c r="M822" s="14" t="s">
        <v>2822</v>
      </c>
      <c r="N822" s="10"/>
      <c r="O822" s="15">
        <f t="shared" si="1"/>
        <v>2013</v>
      </c>
      <c r="P822" s="16" t="str">
        <f t="shared" si="2"/>
        <v>USD</v>
      </c>
      <c r="Q822" s="15">
        <f>IFERROR(__xludf.DUMMYFUNCTION("IFNA(INDEX(GOOGLEFINANCE(""Currency:USD""&amp;$P822,""price"",DATE(YEAR($L822),MONTH($L822),DAY($L822))),2,2),LOOKUP(P822,CurrencyCodes,UnitsPerUSD))"),1.0)</f>
        <v>1</v>
      </c>
      <c r="R822" s="17">
        <f t="shared" si="3"/>
        <v>260000</v>
      </c>
    </row>
    <row r="823">
      <c r="A823" s="7">
        <v>43897.68532766204</v>
      </c>
      <c r="B823" s="18" t="s">
        <v>18</v>
      </c>
      <c r="C823" s="19">
        <v>627.0</v>
      </c>
      <c r="D823" s="18" t="s">
        <v>2823</v>
      </c>
      <c r="E823" s="18" t="s">
        <v>2824</v>
      </c>
      <c r="F823" s="18" t="s">
        <v>2777</v>
      </c>
      <c r="G823" s="9"/>
      <c r="H823" s="21" t="s">
        <v>1173</v>
      </c>
      <c r="I823" s="21" t="s">
        <v>39</v>
      </c>
      <c r="J823" s="11">
        <v>175000.0</v>
      </c>
      <c r="K823" s="27" t="s">
        <v>25</v>
      </c>
      <c r="L823" s="22"/>
      <c r="M823" s="10"/>
      <c r="N823" s="10"/>
      <c r="O823" s="15" t="str">
        <f t="shared" si="1"/>
        <v>Unknown</v>
      </c>
      <c r="P823" s="16" t="str">
        <f t="shared" si="2"/>
        <v>USD</v>
      </c>
      <c r="Q823" s="15">
        <f>IFERROR(__xludf.DUMMYFUNCTION("IFNA(INDEX(GOOGLEFINANCE(""Currency:USD""&amp;$P823,""price"",DATE(YEAR($L823),MONTH($L823),DAY($L823))),2,2),LOOKUP(P823,CurrencyCodes,UnitsPerUSD))"),1.0)</f>
        <v>1</v>
      </c>
      <c r="R823" s="17">
        <f t="shared" si="3"/>
        <v>175000</v>
      </c>
    </row>
    <row r="824">
      <c r="A824" s="7">
        <v>44034.17077361111</v>
      </c>
      <c r="B824" s="8" t="s">
        <v>18</v>
      </c>
      <c r="C824" s="9">
        <v>50.0</v>
      </c>
      <c r="D824" s="8" t="s">
        <v>2825</v>
      </c>
      <c r="E824" s="8" t="s">
        <v>2826</v>
      </c>
      <c r="F824" s="8" t="s">
        <v>2777</v>
      </c>
      <c r="G824" s="9">
        <v>18642.0</v>
      </c>
      <c r="H824" s="10" t="s">
        <v>1173</v>
      </c>
      <c r="I824" s="10" t="s">
        <v>39</v>
      </c>
      <c r="J824" s="11">
        <v>190000.0</v>
      </c>
      <c r="K824" s="10" t="s">
        <v>25</v>
      </c>
      <c r="L824" s="25">
        <v>43719.0</v>
      </c>
      <c r="M824" s="28" t="s">
        <v>2827</v>
      </c>
      <c r="N824" s="12" t="s">
        <v>2828</v>
      </c>
      <c r="O824" s="15">
        <f t="shared" si="1"/>
        <v>2019</v>
      </c>
      <c r="P824" s="16" t="str">
        <f t="shared" si="2"/>
        <v>USD</v>
      </c>
      <c r="Q824" s="15">
        <f>IFERROR(__xludf.DUMMYFUNCTION("IFNA(INDEX(GOOGLEFINANCE(""Currency:USD""&amp;$P824,""price"",DATE(YEAR($L824),MONTH($L824),DAY($L824))),2,2),LOOKUP(P824,CurrencyCodes,UnitsPerUSD))"),1.0)</f>
        <v>1</v>
      </c>
      <c r="R824" s="17">
        <f t="shared" si="3"/>
        <v>190000</v>
      </c>
    </row>
    <row r="825">
      <c r="A825" s="7">
        <v>44034.180050532406</v>
      </c>
      <c r="B825" s="8" t="s">
        <v>18</v>
      </c>
      <c r="C825" s="9">
        <v>3411.0</v>
      </c>
      <c r="D825" s="8" t="s">
        <v>2829</v>
      </c>
      <c r="E825" s="8" t="s">
        <v>2830</v>
      </c>
      <c r="F825" s="8" t="s">
        <v>2777</v>
      </c>
      <c r="G825" s="9">
        <v>18040.0</v>
      </c>
      <c r="H825" s="10" t="s">
        <v>1173</v>
      </c>
      <c r="I825" s="10" t="s">
        <v>39</v>
      </c>
      <c r="J825" s="11">
        <v>0.0</v>
      </c>
      <c r="K825" s="12" t="s">
        <v>25</v>
      </c>
      <c r="L825" s="13"/>
      <c r="M825" s="28" t="s">
        <v>2831</v>
      </c>
      <c r="N825" s="12" t="s">
        <v>2832</v>
      </c>
      <c r="O825" s="15" t="str">
        <f t="shared" si="1"/>
        <v>Unknown</v>
      </c>
      <c r="P825" s="16" t="str">
        <f t="shared" si="2"/>
        <v>USD</v>
      </c>
      <c r="Q825" s="15">
        <f>IFERROR(__xludf.DUMMYFUNCTION("IFNA(INDEX(GOOGLEFINANCE(""Currency:USD""&amp;$P825,""price"",DATE(YEAR($L825),MONTH($L825),DAY($L825))),2,2),LOOKUP(P825,CurrencyCodes,UnitsPerUSD))"),1.0)</f>
        <v>1</v>
      </c>
      <c r="R825" s="17">
        <f t="shared" si="3"/>
        <v>0</v>
      </c>
    </row>
    <row r="826">
      <c r="A826" s="7">
        <v>43898.53159466435</v>
      </c>
      <c r="B826" s="18" t="s">
        <v>18</v>
      </c>
      <c r="C826" s="19">
        <v>620.0</v>
      </c>
      <c r="D826" s="18" t="s">
        <v>2833</v>
      </c>
      <c r="E826" s="18" t="s">
        <v>2834</v>
      </c>
      <c r="F826" s="18" t="s">
        <v>2777</v>
      </c>
      <c r="G826" s="9"/>
      <c r="H826" s="21" t="s">
        <v>1173</v>
      </c>
      <c r="I826" s="21" t="s">
        <v>39</v>
      </c>
      <c r="J826" s="11">
        <v>115500.0</v>
      </c>
      <c r="K826" s="21" t="s">
        <v>25</v>
      </c>
      <c r="L826" s="25">
        <v>43994.0</v>
      </c>
      <c r="M826" s="31" t="s">
        <v>2835</v>
      </c>
      <c r="N826" s="21"/>
      <c r="O826" s="15">
        <f t="shared" si="1"/>
        <v>2020</v>
      </c>
      <c r="P826" s="16" t="str">
        <f t="shared" si="2"/>
        <v>USD</v>
      </c>
      <c r="Q826" s="15">
        <f>IFERROR(__xludf.DUMMYFUNCTION("IFNA(INDEX(GOOGLEFINANCE(""Currency:USD""&amp;$P826,""price"",DATE(YEAR($L826),MONTH($L826),DAY($L826))),2,2),LOOKUP(P826,CurrencyCodes,UnitsPerUSD))"),1.0)</f>
        <v>1</v>
      </c>
      <c r="R826" s="17">
        <f t="shared" si="3"/>
        <v>115500</v>
      </c>
    </row>
    <row r="827">
      <c r="A827" s="7">
        <v>43904.70007097222</v>
      </c>
      <c r="B827" s="18" t="s">
        <v>18</v>
      </c>
      <c r="C827" s="19">
        <v>621.0</v>
      </c>
      <c r="D827" s="18" t="s">
        <v>2836</v>
      </c>
      <c r="E827" s="18" t="s">
        <v>2837</v>
      </c>
      <c r="F827" s="18" t="s">
        <v>2777</v>
      </c>
      <c r="G827" s="19">
        <v>16507.0</v>
      </c>
      <c r="H827" s="21" t="s">
        <v>1173</v>
      </c>
      <c r="I827" s="21" t="s">
        <v>24</v>
      </c>
      <c r="J827" s="11">
        <v>0.0</v>
      </c>
      <c r="K827" s="27" t="s">
        <v>25</v>
      </c>
      <c r="L827" s="22"/>
      <c r="M827" s="24" t="s">
        <v>2838</v>
      </c>
      <c r="N827" s="10" t="s">
        <v>2839</v>
      </c>
      <c r="O827" s="15" t="str">
        <f t="shared" si="1"/>
        <v>Unknown</v>
      </c>
      <c r="P827" s="16" t="str">
        <f t="shared" si="2"/>
        <v>USD</v>
      </c>
      <c r="Q827" s="15">
        <f>IFERROR(__xludf.DUMMYFUNCTION("IFNA(INDEX(GOOGLEFINANCE(""Currency:USD""&amp;$P827,""price"",DATE(YEAR($L827),MONTH($L827),DAY($L827))),2,2),LOOKUP(P827,CurrencyCodes,UnitsPerUSD))"),1.0)</f>
        <v>1</v>
      </c>
      <c r="R827" s="17">
        <f t="shared" si="3"/>
        <v>0</v>
      </c>
    </row>
    <row r="828">
      <c r="A828" s="7">
        <v>43904.70348098379</v>
      </c>
      <c r="B828" s="18" t="s">
        <v>18</v>
      </c>
      <c r="C828" s="9">
        <v>987.0</v>
      </c>
      <c r="D828" s="8" t="s">
        <v>2840</v>
      </c>
      <c r="E828" s="18" t="s">
        <v>2841</v>
      </c>
      <c r="F828" s="18" t="s">
        <v>2777</v>
      </c>
      <c r="G828" s="9">
        <v>18972.0</v>
      </c>
      <c r="H828" s="21" t="s">
        <v>1173</v>
      </c>
      <c r="I828" s="21" t="s">
        <v>24</v>
      </c>
      <c r="J828" s="11">
        <v>339000.0</v>
      </c>
      <c r="K828" s="27" t="s">
        <v>25</v>
      </c>
      <c r="L828" s="22"/>
      <c r="M828" s="28" t="s">
        <v>2842</v>
      </c>
      <c r="N828" s="27" t="s">
        <v>2843</v>
      </c>
      <c r="O828" s="15" t="str">
        <f t="shared" si="1"/>
        <v>Unknown</v>
      </c>
      <c r="P828" s="16" t="str">
        <f t="shared" si="2"/>
        <v>USD</v>
      </c>
      <c r="Q828" s="15">
        <f>IFERROR(__xludf.DUMMYFUNCTION("IFNA(INDEX(GOOGLEFINANCE(""Currency:USD""&amp;$P828,""price"",DATE(YEAR($L828),MONTH($L828),DAY($L828))),2,2),LOOKUP(P828,CurrencyCodes,UnitsPerUSD))"),1.0)</f>
        <v>1</v>
      </c>
      <c r="R828" s="17">
        <f t="shared" si="3"/>
        <v>339000</v>
      </c>
    </row>
    <row r="829">
      <c r="A829" s="7">
        <v>43904.7321702662</v>
      </c>
      <c r="B829" s="18" t="s">
        <v>18</v>
      </c>
      <c r="C829" s="19"/>
      <c r="D829" s="18"/>
      <c r="E829" s="18" t="s">
        <v>2844</v>
      </c>
      <c r="F829" s="18" t="s">
        <v>2777</v>
      </c>
      <c r="G829" s="19"/>
      <c r="H829" s="21" t="s">
        <v>1173</v>
      </c>
      <c r="I829" s="21" t="s">
        <v>24</v>
      </c>
      <c r="J829" s="11">
        <v>0.0</v>
      </c>
      <c r="K829" s="27" t="s">
        <v>25</v>
      </c>
      <c r="L829" s="22"/>
      <c r="M829" s="21"/>
      <c r="N829" s="21"/>
      <c r="O829" s="15" t="str">
        <f t="shared" si="1"/>
        <v>Unknown</v>
      </c>
      <c r="P829" s="16" t="str">
        <f t="shared" si="2"/>
        <v>USD</v>
      </c>
      <c r="Q829" s="15">
        <f>IFERROR(__xludf.DUMMYFUNCTION("IFNA(INDEX(GOOGLEFINANCE(""Currency:USD""&amp;$P829,""price"",DATE(YEAR($L829),MONTH($L829),DAY($L829))),2,2),LOOKUP(P829,CurrencyCodes,UnitsPerUSD))"),1.0)</f>
        <v>1</v>
      </c>
      <c r="R829" s="17">
        <f t="shared" si="3"/>
        <v>0</v>
      </c>
    </row>
    <row r="830">
      <c r="A830" s="7">
        <v>44034.22830641204</v>
      </c>
      <c r="B830" s="8" t="s">
        <v>18</v>
      </c>
      <c r="C830" s="9">
        <v>469.0</v>
      </c>
      <c r="D830" s="8" t="s">
        <v>2845</v>
      </c>
      <c r="E830" s="8" t="s">
        <v>2331</v>
      </c>
      <c r="F830" s="8" t="s">
        <v>2777</v>
      </c>
      <c r="G830" s="9">
        <v>19526.0</v>
      </c>
      <c r="H830" s="10" t="s">
        <v>1173</v>
      </c>
      <c r="I830" s="10" t="s">
        <v>39</v>
      </c>
      <c r="J830" s="11">
        <v>157000.0</v>
      </c>
      <c r="K830" s="10" t="s">
        <v>25</v>
      </c>
      <c r="L830" s="25">
        <v>41138.0</v>
      </c>
      <c r="M830" s="28" t="s">
        <v>2846</v>
      </c>
      <c r="N830" s="12" t="s">
        <v>2847</v>
      </c>
      <c r="O830" s="15">
        <f t="shared" si="1"/>
        <v>2012</v>
      </c>
      <c r="P830" s="16" t="str">
        <f t="shared" si="2"/>
        <v>USD</v>
      </c>
      <c r="Q830" s="15">
        <f>IFERROR(__xludf.DUMMYFUNCTION("IFNA(INDEX(GOOGLEFINANCE(""Currency:USD""&amp;$P830,""price"",DATE(YEAR($L830),MONTH($L830),DAY($L830))),2,2),LOOKUP(P830,CurrencyCodes,UnitsPerUSD))"),1.0)</f>
        <v>1</v>
      </c>
      <c r="R830" s="17">
        <f t="shared" si="3"/>
        <v>157000</v>
      </c>
    </row>
    <row r="831">
      <c r="A831" s="7">
        <v>43911.88410744213</v>
      </c>
      <c r="B831" s="18" t="s">
        <v>18</v>
      </c>
      <c r="C831" s="19">
        <v>2550.0</v>
      </c>
      <c r="D831" s="18" t="s">
        <v>2848</v>
      </c>
      <c r="E831" s="18" t="s">
        <v>2849</v>
      </c>
      <c r="F831" s="18" t="s">
        <v>2777</v>
      </c>
      <c r="G831" s="19">
        <v>18055.0</v>
      </c>
      <c r="H831" s="21" t="s">
        <v>1173</v>
      </c>
      <c r="I831" s="21" t="s">
        <v>39</v>
      </c>
      <c r="J831" s="11">
        <v>360000.0</v>
      </c>
      <c r="K831" s="21" t="s">
        <v>25</v>
      </c>
      <c r="L831" s="25">
        <v>43637.0</v>
      </c>
      <c r="M831" s="24" t="s">
        <v>2850</v>
      </c>
      <c r="N831" s="27" t="s">
        <v>2851</v>
      </c>
      <c r="O831" s="15">
        <f t="shared" si="1"/>
        <v>2019</v>
      </c>
      <c r="P831" s="16" t="str">
        <f t="shared" si="2"/>
        <v>USD</v>
      </c>
      <c r="Q831" s="15">
        <f>IFERROR(__xludf.DUMMYFUNCTION("IFNA(INDEX(GOOGLEFINANCE(""Currency:USD""&amp;$P831,""price"",DATE(YEAR($L831),MONTH($L831),DAY($L831))),2,2),LOOKUP(P831,CurrencyCodes,UnitsPerUSD))"),1.0)</f>
        <v>1</v>
      </c>
      <c r="R831" s="17">
        <f t="shared" si="3"/>
        <v>360000</v>
      </c>
    </row>
    <row r="832">
      <c r="A832" s="7">
        <v>43907.836652893515</v>
      </c>
      <c r="B832" s="8" t="s">
        <v>18</v>
      </c>
      <c r="C832" s="9">
        <v>325.0</v>
      </c>
      <c r="D832" s="8" t="s">
        <v>2852</v>
      </c>
      <c r="E832" s="8" t="s">
        <v>2853</v>
      </c>
      <c r="F832" s="8" t="s">
        <v>2777</v>
      </c>
      <c r="G832" s="9">
        <v>17740.0</v>
      </c>
      <c r="H832" s="10" t="s">
        <v>1173</v>
      </c>
      <c r="I832" s="10" t="s">
        <v>39</v>
      </c>
      <c r="J832" s="11">
        <v>135000.0</v>
      </c>
      <c r="K832" s="10" t="s">
        <v>25</v>
      </c>
      <c r="L832" s="25">
        <v>43277.0</v>
      </c>
      <c r="M832" s="14" t="s">
        <v>2854</v>
      </c>
      <c r="N832" s="10"/>
      <c r="O832" s="15">
        <f t="shared" si="1"/>
        <v>2018</v>
      </c>
      <c r="P832" s="16" t="str">
        <f t="shared" si="2"/>
        <v>USD</v>
      </c>
      <c r="Q832" s="15">
        <f>IFERROR(__xludf.DUMMYFUNCTION("IFNA(INDEX(GOOGLEFINANCE(""Currency:USD""&amp;$P832,""price"",DATE(YEAR($L832),MONTH($L832),DAY($L832))),2,2),LOOKUP(P832,CurrencyCodes,UnitsPerUSD))"),1.0)</f>
        <v>1</v>
      </c>
      <c r="R832" s="17">
        <f t="shared" si="3"/>
        <v>135000</v>
      </c>
    </row>
    <row r="833">
      <c r="A833" s="7">
        <v>44034.23691212963</v>
      </c>
      <c r="B833" s="8" t="s">
        <v>18</v>
      </c>
      <c r="C833" s="9">
        <v>404.0</v>
      </c>
      <c r="D833" s="8" t="s">
        <v>2855</v>
      </c>
      <c r="E833" s="8" t="s">
        <v>2349</v>
      </c>
      <c r="F833" s="8" t="s">
        <v>2777</v>
      </c>
      <c r="G833" s="9">
        <v>15904.0</v>
      </c>
      <c r="H833" s="10" t="s">
        <v>1173</v>
      </c>
      <c r="I833" s="10" t="s">
        <v>39</v>
      </c>
      <c r="J833" s="11">
        <v>128000.0</v>
      </c>
      <c r="K833" s="10" t="s">
        <v>25</v>
      </c>
      <c r="L833" s="25">
        <v>41919.0</v>
      </c>
      <c r="M833" s="28" t="s">
        <v>2856</v>
      </c>
      <c r="N833" s="12" t="s">
        <v>2857</v>
      </c>
      <c r="O833" s="15">
        <f t="shared" si="1"/>
        <v>2014</v>
      </c>
      <c r="P833" s="16" t="str">
        <f t="shared" si="2"/>
        <v>USD</v>
      </c>
      <c r="Q833" s="15">
        <f>IFERROR(__xludf.DUMMYFUNCTION("IFNA(INDEX(GOOGLEFINANCE(""Currency:USD""&amp;$P833,""price"",DATE(YEAR($L833),MONTH($L833),DAY($L833))),2,2),LOOKUP(P833,CurrencyCodes,UnitsPerUSD))"),1.0)</f>
        <v>1</v>
      </c>
      <c r="R833" s="17">
        <f t="shared" si="3"/>
        <v>128000</v>
      </c>
    </row>
    <row r="834">
      <c r="A834" s="7">
        <v>43909.93029429398</v>
      </c>
      <c r="B834" s="18" t="s">
        <v>18</v>
      </c>
      <c r="C834" s="19">
        <v>194.0</v>
      </c>
      <c r="D834" s="18" t="s">
        <v>2858</v>
      </c>
      <c r="E834" s="18" t="s">
        <v>2859</v>
      </c>
      <c r="F834" s="18" t="s">
        <v>2777</v>
      </c>
      <c r="G834" s="19">
        <v>15003.0</v>
      </c>
      <c r="H834" s="21" t="s">
        <v>1173</v>
      </c>
      <c r="I834" s="21" t="s">
        <v>39</v>
      </c>
      <c r="J834" s="11">
        <v>225000.0</v>
      </c>
      <c r="K834" s="21" t="s">
        <v>25</v>
      </c>
      <c r="L834" s="25">
        <v>43725.0</v>
      </c>
      <c r="M834" s="24" t="s">
        <v>2860</v>
      </c>
      <c r="N834" s="21" t="s">
        <v>2861</v>
      </c>
      <c r="O834" s="15">
        <f t="shared" si="1"/>
        <v>2019</v>
      </c>
      <c r="P834" s="16" t="str">
        <f t="shared" si="2"/>
        <v>USD</v>
      </c>
      <c r="Q834" s="15">
        <f>IFERROR(__xludf.DUMMYFUNCTION("IFNA(INDEX(GOOGLEFINANCE(""Currency:USD""&amp;$P834,""price"",DATE(YEAR($L834),MONTH($L834),DAY($L834))),2,2),LOOKUP(P834,CurrencyCodes,UnitsPerUSD))"),1.0)</f>
        <v>1</v>
      </c>
      <c r="R834" s="17">
        <f t="shared" si="3"/>
        <v>225000</v>
      </c>
    </row>
    <row r="835">
      <c r="A835" s="7">
        <v>43904.781973923615</v>
      </c>
      <c r="B835" s="8" t="s">
        <v>18</v>
      </c>
      <c r="C835" s="9">
        <v>1431.0</v>
      </c>
      <c r="D835" s="8" t="s">
        <v>2862</v>
      </c>
      <c r="E835" s="8" t="s">
        <v>2863</v>
      </c>
      <c r="F835" s="8" t="s">
        <v>2777</v>
      </c>
      <c r="G835" s="9">
        <v>16137.0</v>
      </c>
      <c r="H835" s="10" t="s">
        <v>1173</v>
      </c>
      <c r="I835" s="10" t="s">
        <v>39</v>
      </c>
      <c r="J835" s="11">
        <v>169500.0</v>
      </c>
      <c r="K835" s="10" t="s">
        <v>25</v>
      </c>
      <c r="L835" s="25">
        <v>43356.0</v>
      </c>
      <c r="M835" s="14" t="s">
        <v>2864</v>
      </c>
      <c r="N835" s="10"/>
      <c r="O835" s="15">
        <f t="shared" si="1"/>
        <v>2018</v>
      </c>
      <c r="P835" s="16" t="str">
        <f t="shared" si="2"/>
        <v>USD</v>
      </c>
      <c r="Q835" s="15">
        <f>IFERROR(__xludf.DUMMYFUNCTION("IFNA(INDEX(GOOGLEFINANCE(""Currency:USD""&amp;$P835,""price"",DATE(YEAR($L835),MONTH($L835),DAY($L835))),2,2),LOOKUP(P835,CurrencyCodes,UnitsPerUSD))"),1.0)</f>
        <v>1</v>
      </c>
      <c r="R835" s="17">
        <f t="shared" si="3"/>
        <v>169500</v>
      </c>
    </row>
    <row r="836">
      <c r="A836" s="7">
        <v>44034.256285578704</v>
      </c>
      <c r="B836" s="8" t="s">
        <v>18</v>
      </c>
      <c r="C836" s="9">
        <v>251.0</v>
      </c>
      <c r="D836" s="8" t="s">
        <v>2865</v>
      </c>
      <c r="E836" s="8" t="s">
        <v>2866</v>
      </c>
      <c r="F836" s="8" t="s">
        <v>2777</v>
      </c>
      <c r="G836" s="9">
        <v>19067.0</v>
      </c>
      <c r="H836" s="10" t="s">
        <v>1173</v>
      </c>
      <c r="I836" s="10" t="s">
        <v>24</v>
      </c>
      <c r="J836" s="11">
        <v>275000.0</v>
      </c>
      <c r="K836" s="12" t="s">
        <v>25</v>
      </c>
      <c r="L836" s="13"/>
      <c r="M836" s="14" t="s">
        <v>2867</v>
      </c>
      <c r="N836" s="10"/>
      <c r="O836" s="15" t="str">
        <f t="shared" si="1"/>
        <v>Unknown</v>
      </c>
      <c r="P836" s="16" t="str">
        <f t="shared" si="2"/>
        <v>USD</v>
      </c>
      <c r="Q836" s="15">
        <f>IFERROR(__xludf.DUMMYFUNCTION("IFNA(INDEX(GOOGLEFINANCE(""Currency:USD""&amp;$P836,""price"",DATE(YEAR($L836),MONTH($L836),DAY($L836))),2,2),LOOKUP(P836,CurrencyCodes,UnitsPerUSD))"),1.0)</f>
        <v>1</v>
      </c>
      <c r="R836" s="17">
        <f t="shared" si="3"/>
        <v>275000</v>
      </c>
    </row>
    <row r="837">
      <c r="A837" s="7">
        <v>43933.892885486115</v>
      </c>
      <c r="B837" s="18" t="s">
        <v>18</v>
      </c>
      <c r="C837" s="9">
        <v>17.0</v>
      </c>
      <c r="D837" s="8" t="s">
        <v>2868</v>
      </c>
      <c r="E837" s="8" t="s">
        <v>2869</v>
      </c>
      <c r="F837" s="18" t="s">
        <v>2777</v>
      </c>
      <c r="G837" s="9">
        <v>18067.0</v>
      </c>
      <c r="H837" s="21" t="s">
        <v>1173</v>
      </c>
      <c r="I837" s="21" t="s">
        <v>24</v>
      </c>
      <c r="J837" s="11">
        <v>319000.0</v>
      </c>
      <c r="K837" s="21" t="s">
        <v>25</v>
      </c>
      <c r="L837" s="25">
        <v>43473.0</v>
      </c>
      <c r="M837" s="14" t="s">
        <v>2870</v>
      </c>
      <c r="N837" s="10"/>
      <c r="O837" s="15">
        <f t="shared" si="1"/>
        <v>2019</v>
      </c>
      <c r="P837" s="16" t="str">
        <f t="shared" si="2"/>
        <v>USD</v>
      </c>
      <c r="Q837" s="15">
        <f>IFERROR(__xludf.DUMMYFUNCTION("IFNA(INDEX(GOOGLEFINANCE(""Currency:USD""&amp;$P837,""price"",DATE(YEAR($L837),MONTH($L837),DAY($L837))),2,2),LOOKUP(P837,CurrencyCodes,UnitsPerUSD))"),1.0)</f>
        <v>1</v>
      </c>
      <c r="R837" s="17">
        <f t="shared" si="3"/>
        <v>319000</v>
      </c>
    </row>
    <row r="838">
      <c r="A838" s="7">
        <v>44035.22922326389</v>
      </c>
      <c r="B838" s="8" t="s">
        <v>18</v>
      </c>
      <c r="C838" s="9">
        <v>1237.0</v>
      </c>
      <c r="D838" s="8" t="s">
        <v>2871</v>
      </c>
      <c r="E838" s="8" t="s">
        <v>2872</v>
      </c>
      <c r="F838" s="8" t="s">
        <v>2777</v>
      </c>
      <c r="G838" s="9">
        <v>19147.0</v>
      </c>
      <c r="H838" s="10" t="s">
        <v>1173</v>
      </c>
      <c r="I838" s="10" t="s">
        <v>39</v>
      </c>
      <c r="J838" s="11">
        <v>0.0</v>
      </c>
      <c r="K838" s="12" t="s">
        <v>25</v>
      </c>
      <c r="L838" s="13"/>
      <c r="M838" s="28" t="s">
        <v>2873</v>
      </c>
      <c r="N838" s="12" t="s">
        <v>2874</v>
      </c>
      <c r="O838" s="15" t="str">
        <f t="shared" si="1"/>
        <v>Unknown</v>
      </c>
      <c r="P838" s="16" t="str">
        <f t="shared" si="2"/>
        <v>USD</v>
      </c>
      <c r="Q838" s="15">
        <f>IFERROR(__xludf.DUMMYFUNCTION("IFNA(INDEX(GOOGLEFINANCE(""Currency:USD""&amp;$P838,""price"",DATE(YEAR($L838),MONTH($L838),DAY($L838))),2,2),LOOKUP(P838,CurrencyCodes,UnitsPerUSD))"),1.0)</f>
        <v>1</v>
      </c>
      <c r="R838" s="17">
        <f t="shared" si="3"/>
        <v>0</v>
      </c>
    </row>
    <row r="839">
      <c r="A839" s="7">
        <v>43916.94287646991</v>
      </c>
      <c r="B839" s="8" t="s">
        <v>18</v>
      </c>
      <c r="C839" s="9" t="s">
        <v>2875</v>
      </c>
      <c r="D839" s="8" t="s">
        <v>2876</v>
      </c>
      <c r="E839" s="8" t="s">
        <v>2872</v>
      </c>
      <c r="F839" s="8" t="s">
        <v>2777</v>
      </c>
      <c r="G839" s="9">
        <v>19132.0</v>
      </c>
      <c r="H839" s="10" t="s">
        <v>1173</v>
      </c>
      <c r="I839" s="10" t="s">
        <v>39</v>
      </c>
      <c r="J839" s="11">
        <v>2050000.0</v>
      </c>
      <c r="K839" s="10" t="s">
        <v>25</v>
      </c>
      <c r="L839" s="25">
        <v>43782.0</v>
      </c>
      <c r="M839" s="28" t="s">
        <v>2877</v>
      </c>
      <c r="N839" s="12" t="s">
        <v>2878</v>
      </c>
      <c r="O839" s="15">
        <f t="shared" si="1"/>
        <v>2019</v>
      </c>
      <c r="P839" s="16" t="str">
        <f t="shared" si="2"/>
        <v>USD</v>
      </c>
      <c r="Q839" s="15">
        <f>IFERROR(__xludf.DUMMYFUNCTION("IFNA(INDEX(GOOGLEFINANCE(""Currency:USD""&amp;$P839,""price"",DATE(YEAR($L839),MONTH($L839),DAY($L839))),2,2),LOOKUP(P839,CurrencyCodes,UnitsPerUSD))"),1.0)</f>
        <v>1</v>
      </c>
      <c r="R839" s="17">
        <f t="shared" si="3"/>
        <v>2050000</v>
      </c>
    </row>
    <row r="840">
      <c r="A840" s="7">
        <v>44034.32321248842</v>
      </c>
      <c r="B840" s="8" t="s">
        <v>18</v>
      </c>
      <c r="C840" s="9">
        <v>6719.0</v>
      </c>
      <c r="D840" s="8" t="s">
        <v>2879</v>
      </c>
      <c r="E840" s="8" t="s">
        <v>2872</v>
      </c>
      <c r="F840" s="8" t="s">
        <v>2777</v>
      </c>
      <c r="G840" s="9">
        <v>19126.0</v>
      </c>
      <c r="H840" s="10" t="s">
        <v>1173</v>
      </c>
      <c r="I840" s="10" t="s">
        <v>39</v>
      </c>
      <c r="J840" s="11">
        <v>585000.0</v>
      </c>
      <c r="K840" s="10" t="s">
        <v>25</v>
      </c>
      <c r="L840" s="25">
        <v>43360.0</v>
      </c>
      <c r="M840" s="28" t="s">
        <v>2880</v>
      </c>
      <c r="N840" s="12" t="s">
        <v>2881</v>
      </c>
      <c r="O840" s="15">
        <f t="shared" si="1"/>
        <v>2018</v>
      </c>
      <c r="P840" s="16" t="str">
        <f t="shared" si="2"/>
        <v>USD</v>
      </c>
      <c r="Q840" s="15">
        <f>IFERROR(__xludf.DUMMYFUNCTION("IFNA(INDEX(GOOGLEFINANCE(""Currency:USD""&amp;$P840,""price"",DATE(YEAR($L840),MONTH($L840),DAY($L840))),2,2),LOOKUP(P840,CurrencyCodes,UnitsPerUSD))"),1.0)</f>
        <v>1</v>
      </c>
      <c r="R840" s="17">
        <f t="shared" si="3"/>
        <v>585000</v>
      </c>
    </row>
    <row r="841">
      <c r="A841" s="7">
        <v>44035.216891828706</v>
      </c>
      <c r="B841" s="8" t="s">
        <v>18</v>
      </c>
      <c r="C841" s="9">
        <v>1254.0</v>
      </c>
      <c r="D841" s="8" t="s">
        <v>2882</v>
      </c>
      <c r="E841" s="8" t="s">
        <v>2872</v>
      </c>
      <c r="F841" s="8" t="s">
        <v>2777</v>
      </c>
      <c r="G841" s="9">
        <v>19146.0</v>
      </c>
      <c r="H841" s="10" t="s">
        <v>1173</v>
      </c>
      <c r="I841" s="10" t="s">
        <v>39</v>
      </c>
      <c r="J841" s="11">
        <v>415000.0</v>
      </c>
      <c r="K841" s="10" t="s">
        <v>25</v>
      </c>
      <c r="L841" s="25">
        <v>42856.0</v>
      </c>
      <c r="M841" s="28" t="s">
        <v>2883</v>
      </c>
      <c r="N841" s="12" t="s">
        <v>2884</v>
      </c>
      <c r="O841" s="15">
        <f t="shared" si="1"/>
        <v>2017</v>
      </c>
      <c r="P841" s="16" t="str">
        <f t="shared" si="2"/>
        <v>USD</v>
      </c>
      <c r="Q841" s="15">
        <f>IFERROR(__xludf.DUMMYFUNCTION("IFNA(INDEX(GOOGLEFINANCE(""Currency:USD""&amp;$P841,""price"",DATE(YEAR($L841),MONTH($L841),DAY($L841))),2,2),LOOKUP(P841,CurrencyCodes,UnitsPerUSD))"),1.0)</f>
        <v>1</v>
      </c>
      <c r="R841" s="17">
        <f t="shared" si="3"/>
        <v>415000</v>
      </c>
    </row>
    <row r="842">
      <c r="A842" s="7">
        <v>44035.24154289352</v>
      </c>
      <c r="B842" s="8" t="s">
        <v>18</v>
      </c>
      <c r="C842" s="9">
        <v>8233.0</v>
      </c>
      <c r="D842" s="8" t="s">
        <v>2885</v>
      </c>
      <c r="E842" s="8" t="s">
        <v>2872</v>
      </c>
      <c r="F842" s="8" t="s">
        <v>2777</v>
      </c>
      <c r="G842" s="9">
        <v>19150.0</v>
      </c>
      <c r="H842" s="10" t="s">
        <v>1173</v>
      </c>
      <c r="I842" s="10" t="s">
        <v>39</v>
      </c>
      <c r="J842" s="11">
        <v>565000.0</v>
      </c>
      <c r="K842" s="10" t="s">
        <v>25</v>
      </c>
      <c r="L842" s="25">
        <v>41577.0</v>
      </c>
      <c r="M842" s="28" t="s">
        <v>2886</v>
      </c>
      <c r="N842" s="12" t="s">
        <v>2887</v>
      </c>
      <c r="O842" s="15">
        <f t="shared" si="1"/>
        <v>2013</v>
      </c>
      <c r="P842" s="16" t="str">
        <f t="shared" si="2"/>
        <v>USD</v>
      </c>
      <c r="Q842" s="15">
        <f>IFERROR(__xludf.DUMMYFUNCTION("IFNA(INDEX(GOOGLEFINANCE(""Currency:USD""&amp;$P842,""price"",DATE(YEAR($L842),MONTH($L842),DAY($L842))),2,2),LOOKUP(P842,CurrencyCodes,UnitsPerUSD))"),1.0)</f>
        <v>1</v>
      </c>
      <c r="R842" s="17">
        <f t="shared" si="3"/>
        <v>565000</v>
      </c>
    </row>
    <row r="843">
      <c r="A843" s="7">
        <v>44034.27356028935</v>
      </c>
      <c r="B843" s="8" t="s">
        <v>18</v>
      </c>
      <c r="C843" s="9">
        <v>307.0</v>
      </c>
      <c r="D843" s="8" t="s">
        <v>2888</v>
      </c>
      <c r="E843" s="8" t="s">
        <v>2872</v>
      </c>
      <c r="F843" s="8" t="s">
        <v>2777</v>
      </c>
      <c r="G843" s="9">
        <v>19120.0</v>
      </c>
      <c r="H843" s="10" t="s">
        <v>1173</v>
      </c>
      <c r="I843" s="10" t="s">
        <v>39</v>
      </c>
      <c r="J843" s="11">
        <v>165000.0</v>
      </c>
      <c r="K843" s="12" t="s">
        <v>25</v>
      </c>
      <c r="L843" s="13"/>
      <c r="M843" s="28" t="s">
        <v>2889</v>
      </c>
      <c r="N843" s="10" t="s">
        <v>2890</v>
      </c>
      <c r="O843" s="15" t="str">
        <f t="shared" si="1"/>
        <v>Unknown</v>
      </c>
      <c r="P843" s="16" t="str">
        <f t="shared" si="2"/>
        <v>USD</v>
      </c>
      <c r="Q843" s="15">
        <f>IFERROR(__xludf.DUMMYFUNCTION("IFNA(INDEX(GOOGLEFINANCE(""Currency:USD""&amp;$P843,""price"",DATE(YEAR($L843),MONTH($L843),DAY($L843))),2,2),LOOKUP(P843,CurrencyCodes,UnitsPerUSD))"),1.0)</f>
        <v>1</v>
      </c>
      <c r="R843" s="17">
        <f t="shared" si="3"/>
        <v>165000</v>
      </c>
    </row>
    <row r="844">
      <c r="A844" s="7">
        <v>44034.32802065973</v>
      </c>
      <c r="B844" s="8" t="s">
        <v>18</v>
      </c>
      <c r="C844" s="9">
        <v>2314.0</v>
      </c>
      <c r="D844" s="8" t="s">
        <v>2891</v>
      </c>
      <c r="E844" s="8" t="s">
        <v>2872</v>
      </c>
      <c r="F844" s="8" t="s">
        <v>2777</v>
      </c>
      <c r="G844" s="9">
        <v>19134.0</v>
      </c>
      <c r="H844" s="10" t="s">
        <v>1173</v>
      </c>
      <c r="I844" s="10" t="s">
        <v>39</v>
      </c>
      <c r="J844" s="11">
        <v>160000.0</v>
      </c>
      <c r="K844" s="10" t="s">
        <v>25</v>
      </c>
      <c r="L844" s="25">
        <v>41019.0</v>
      </c>
      <c r="M844" s="28" t="s">
        <v>2892</v>
      </c>
      <c r="N844" s="12" t="s">
        <v>2893</v>
      </c>
      <c r="O844" s="15">
        <f t="shared" si="1"/>
        <v>2012</v>
      </c>
      <c r="P844" s="16" t="str">
        <f t="shared" si="2"/>
        <v>USD</v>
      </c>
      <c r="Q844" s="15">
        <f>IFERROR(__xludf.DUMMYFUNCTION("IFNA(INDEX(GOOGLEFINANCE(""Currency:USD""&amp;$P844,""price"",DATE(YEAR($L844),MONTH($L844),DAY($L844))),2,2),LOOKUP(P844,CurrencyCodes,UnitsPerUSD))"),1.0)</f>
        <v>1</v>
      </c>
      <c r="R844" s="17">
        <f t="shared" si="3"/>
        <v>160000</v>
      </c>
    </row>
    <row r="845">
      <c r="A845" s="7">
        <v>44035.19769064814</v>
      </c>
      <c r="B845" s="8" t="s">
        <v>18</v>
      </c>
      <c r="C845" s="9">
        <v>2921.0</v>
      </c>
      <c r="D845" s="8" t="s">
        <v>2894</v>
      </c>
      <c r="E845" s="8" t="s">
        <v>2872</v>
      </c>
      <c r="F845" s="8" t="s">
        <v>2777</v>
      </c>
      <c r="G845" s="9">
        <v>19132.0</v>
      </c>
      <c r="H845" s="10" t="s">
        <v>1173</v>
      </c>
      <c r="I845" s="10" t="s">
        <v>39</v>
      </c>
      <c r="J845" s="11">
        <v>205000.0</v>
      </c>
      <c r="K845" s="10" t="s">
        <v>25</v>
      </c>
      <c r="L845" s="25">
        <v>40473.0</v>
      </c>
      <c r="M845" s="28" t="s">
        <v>2895</v>
      </c>
      <c r="N845" s="10" t="s">
        <v>2896</v>
      </c>
      <c r="O845" s="15">
        <f t="shared" si="1"/>
        <v>2010</v>
      </c>
      <c r="P845" s="16" t="str">
        <f t="shared" si="2"/>
        <v>USD</v>
      </c>
      <c r="Q845" s="15">
        <f>IFERROR(__xludf.DUMMYFUNCTION("IFNA(INDEX(GOOGLEFINANCE(""Currency:USD""&amp;$P845,""price"",DATE(YEAR($L845),MONTH($L845),DAY($L845))),2,2),LOOKUP(P845,CurrencyCodes,UnitsPerUSD))"),1.0)</f>
        <v>1</v>
      </c>
      <c r="R845" s="17">
        <f t="shared" si="3"/>
        <v>205000</v>
      </c>
    </row>
    <row r="846">
      <c r="A846" s="7">
        <v>44034.2664274537</v>
      </c>
      <c r="B846" s="8" t="s">
        <v>18</v>
      </c>
      <c r="C846" s="9">
        <v>361.0</v>
      </c>
      <c r="D846" s="8" t="s">
        <v>2897</v>
      </c>
      <c r="E846" s="8" t="s">
        <v>2872</v>
      </c>
      <c r="F846" s="8" t="s">
        <v>2777</v>
      </c>
      <c r="G846" s="9">
        <v>19119.0</v>
      </c>
      <c r="H846" s="10" t="s">
        <v>1173</v>
      </c>
      <c r="I846" s="10" t="s">
        <v>39</v>
      </c>
      <c r="J846" s="11">
        <v>0.0</v>
      </c>
      <c r="K846" s="12" t="s">
        <v>25</v>
      </c>
      <c r="L846" s="13"/>
      <c r="M846" s="10"/>
      <c r="N846" s="10" t="s">
        <v>2898</v>
      </c>
      <c r="O846" s="15" t="str">
        <f t="shared" si="1"/>
        <v>Unknown</v>
      </c>
      <c r="P846" s="16" t="str">
        <f t="shared" si="2"/>
        <v>USD</v>
      </c>
      <c r="Q846" s="15">
        <f>IFERROR(__xludf.DUMMYFUNCTION("IFNA(INDEX(GOOGLEFINANCE(""Currency:USD""&amp;$P846,""price"",DATE(YEAR($L846),MONTH($L846),DAY($L846))),2,2),LOOKUP(P846,CurrencyCodes,UnitsPerUSD))"),1.0)</f>
        <v>1</v>
      </c>
      <c r="R846" s="17">
        <f t="shared" si="3"/>
        <v>0</v>
      </c>
    </row>
    <row r="847">
      <c r="A847" s="7">
        <v>44034.280987986116</v>
      </c>
      <c r="B847" s="8" t="s">
        <v>18</v>
      </c>
      <c r="C847" s="9">
        <v>1539.0</v>
      </c>
      <c r="D847" s="8" t="s">
        <v>2899</v>
      </c>
      <c r="E847" s="8" t="s">
        <v>2900</v>
      </c>
      <c r="F847" s="8" t="s">
        <v>2777</v>
      </c>
      <c r="G847" s="9">
        <v>19121.0</v>
      </c>
      <c r="H847" s="10" t="s">
        <v>1173</v>
      </c>
      <c r="I847" s="10" t="s">
        <v>39</v>
      </c>
      <c r="J847" s="11">
        <v>0.0</v>
      </c>
      <c r="K847" s="12" t="s">
        <v>25</v>
      </c>
      <c r="L847" s="13"/>
      <c r="M847" s="28" t="s">
        <v>2901</v>
      </c>
      <c r="N847" s="12" t="s">
        <v>2902</v>
      </c>
      <c r="O847" s="15" t="str">
        <f t="shared" si="1"/>
        <v>Unknown</v>
      </c>
      <c r="P847" s="16" t="str">
        <f t="shared" si="2"/>
        <v>USD</v>
      </c>
      <c r="Q847" s="15">
        <f>IFERROR(__xludf.DUMMYFUNCTION("IFNA(INDEX(GOOGLEFINANCE(""Currency:USD""&amp;$P847,""price"",DATE(YEAR($L847),MONTH($L847),DAY($L847))),2,2),LOOKUP(P847,CurrencyCodes,UnitsPerUSD))"),1.0)</f>
        <v>1</v>
      </c>
      <c r="R847" s="17">
        <f t="shared" si="3"/>
        <v>0</v>
      </c>
    </row>
    <row r="848">
      <c r="A848" s="7">
        <v>44035.24846898148</v>
      </c>
      <c r="B848" s="8" t="s">
        <v>18</v>
      </c>
      <c r="C848" s="9">
        <v>1462.0</v>
      </c>
      <c r="D848" s="8" t="s">
        <v>2903</v>
      </c>
      <c r="E848" s="8" t="s">
        <v>2904</v>
      </c>
      <c r="F848" s="8" t="s">
        <v>2777</v>
      </c>
      <c r="G848" s="9">
        <v>15226.0</v>
      </c>
      <c r="H848" s="10" t="s">
        <v>1173</v>
      </c>
      <c r="I848" s="10" t="s">
        <v>39</v>
      </c>
      <c r="J848" s="11">
        <v>225400.0</v>
      </c>
      <c r="K848" s="10" t="s">
        <v>25</v>
      </c>
      <c r="L848" s="25">
        <v>38154.0</v>
      </c>
      <c r="M848" s="28" t="s">
        <v>2905</v>
      </c>
      <c r="N848" s="10" t="s">
        <v>1197</v>
      </c>
      <c r="O848" s="15">
        <f t="shared" si="1"/>
        <v>2004</v>
      </c>
      <c r="P848" s="16" t="str">
        <f t="shared" si="2"/>
        <v>USD</v>
      </c>
      <c r="Q848" s="15">
        <f>IFERROR(__xludf.DUMMYFUNCTION("IFNA(INDEX(GOOGLEFINANCE(""Currency:USD""&amp;$P848,""price"",DATE(YEAR($L848),MONTH($L848),DAY($L848))),2,2),LOOKUP(P848,CurrencyCodes,UnitsPerUSD))"),1.0)</f>
        <v>1</v>
      </c>
      <c r="R848" s="17">
        <f t="shared" si="3"/>
        <v>225400</v>
      </c>
    </row>
    <row r="849">
      <c r="A849" s="7">
        <v>44035.28585685186</v>
      </c>
      <c r="B849" s="8" t="s">
        <v>18</v>
      </c>
      <c r="C849" s="9">
        <v>7901.0</v>
      </c>
      <c r="D849" s="8" t="s">
        <v>2906</v>
      </c>
      <c r="E849" s="8" t="s">
        <v>2904</v>
      </c>
      <c r="F849" s="8" t="s">
        <v>2777</v>
      </c>
      <c r="G849" s="9">
        <v>15235.0</v>
      </c>
      <c r="H849" s="10" t="s">
        <v>1173</v>
      </c>
      <c r="I849" s="10" t="s">
        <v>39</v>
      </c>
      <c r="J849" s="11">
        <v>255000.0</v>
      </c>
      <c r="K849" s="10" t="s">
        <v>25</v>
      </c>
      <c r="L849" s="25">
        <v>43829.0</v>
      </c>
      <c r="M849" s="14" t="s">
        <v>2907</v>
      </c>
      <c r="N849" s="10"/>
      <c r="O849" s="15">
        <f t="shared" si="1"/>
        <v>2019</v>
      </c>
      <c r="P849" s="16" t="str">
        <f t="shared" si="2"/>
        <v>USD</v>
      </c>
      <c r="Q849" s="15">
        <f>IFERROR(__xludf.DUMMYFUNCTION("IFNA(INDEX(GOOGLEFINANCE(""Currency:USD""&amp;$P849,""price"",DATE(YEAR($L849),MONTH($L849),DAY($L849))),2,2),LOOKUP(P849,CurrencyCodes,UnitsPerUSD))"),1.0)</f>
        <v>1</v>
      </c>
      <c r="R849" s="17">
        <f t="shared" si="3"/>
        <v>255000</v>
      </c>
    </row>
    <row r="850">
      <c r="A850" s="7">
        <v>44035.287923807875</v>
      </c>
      <c r="B850" s="8" t="s">
        <v>18</v>
      </c>
      <c r="C850" s="9">
        <v>801.0</v>
      </c>
      <c r="D850" s="8" t="s">
        <v>2908</v>
      </c>
      <c r="E850" s="8" t="s">
        <v>2909</v>
      </c>
      <c r="F850" s="8" t="s">
        <v>2777</v>
      </c>
      <c r="G850" s="9">
        <v>15239.0</v>
      </c>
      <c r="H850" s="10" t="s">
        <v>1173</v>
      </c>
      <c r="I850" s="10" t="s">
        <v>39</v>
      </c>
      <c r="J850" s="11">
        <v>243000.0</v>
      </c>
      <c r="K850" s="10" t="s">
        <v>25</v>
      </c>
      <c r="L850" s="25">
        <v>43735.0</v>
      </c>
      <c r="M850" s="14" t="s">
        <v>2910</v>
      </c>
      <c r="N850" s="10"/>
      <c r="O850" s="15">
        <f t="shared" si="1"/>
        <v>2019</v>
      </c>
      <c r="P850" s="16" t="str">
        <f t="shared" si="2"/>
        <v>USD</v>
      </c>
      <c r="Q850" s="15">
        <f>IFERROR(__xludf.DUMMYFUNCTION("IFNA(INDEX(GOOGLEFINANCE(""Currency:USD""&amp;$P850,""price"",DATE(YEAR($L850),MONTH($L850),DAY($L850))),2,2),LOOKUP(P850,CurrencyCodes,UnitsPerUSD))"),1.0)</f>
        <v>1</v>
      </c>
      <c r="R850" s="17">
        <f t="shared" si="3"/>
        <v>243000</v>
      </c>
    </row>
    <row r="851">
      <c r="A851" s="7">
        <v>44035.29129638889</v>
      </c>
      <c r="B851" s="8" t="s">
        <v>2911</v>
      </c>
      <c r="C851" s="9">
        <v>433.0</v>
      </c>
      <c r="D851" s="8" t="s">
        <v>2912</v>
      </c>
      <c r="E851" s="8" t="s">
        <v>2913</v>
      </c>
      <c r="F851" s="8" t="s">
        <v>2777</v>
      </c>
      <c r="G851" s="9">
        <v>18651.0</v>
      </c>
      <c r="H851" s="10" t="s">
        <v>1173</v>
      </c>
      <c r="I851" s="10" t="s">
        <v>39</v>
      </c>
      <c r="J851" s="11">
        <v>32000.0</v>
      </c>
      <c r="K851" s="10" t="s">
        <v>25</v>
      </c>
      <c r="L851" s="25">
        <v>42906.0</v>
      </c>
      <c r="M851" s="28" t="s">
        <v>2914</v>
      </c>
      <c r="N851" s="12" t="s">
        <v>2915</v>
      </c>
      <c r="O851" s="15">
        <f t="shared" si="1"/>
        <v>2017</v>
      </c>
      <c r="P851" s="16" t="str">
        <f t="shared" si="2"/>
        <v>USD</v>
      </c>
      <c r="Q851" s="15">
        <f>IFERROR(__xludf.DUMMYFUNCTION("IFNA(INDEX(GOOGLEFINANCE(""Currency:USD""&amp;$P851,""price"",DATE(YEAR($L851),MONTH($L851),DAY($L851))),2,2),LOOKUP(P851,CurrencyCodes,UnitsPerUSD))"),1.0)</f>
        <v>1</v>
      </c>
      <c r="R851" s="17">
        <f t="shared" si="3"/>
        <v>32000</v>
      </c>
    </row>
    <row r="852">
      <c r="A852" s="7">
        <v>44035.297793564816</v>
      </c>
      <c r="B852" s="8" t="s">
        <v>18</v>
      </c>
      <c r="C852" s="9">
        <v>59.0</v>
      </c>
      <c r="D852" s="8" t="s">
        <v>2916</v>
      </c>
      <c r="E852" s="8" t="s">
        <v>2917</v>
      </c>
      <c r="F852" s="8" t="s">
        <v>2777</v>
      </c>
      <c r="G852" s="9">
        <v>19464.0</v>
      </c>
      <c r="H852" s="10" t="s">
        <v>1173</v>
      </c>
      <c r="I852" s="10" t="s">
        <v>39</v>
      </c>
      <c r="J852" s="11">
        <v>280000.0</v>
      </c>
      <c r="K852" s="10" t="s">
        <v>25</v>
      </c>
      <c r="L852" s="25">
        <v>38503.0</v>
      </c>
      <c r="M852" s="28" t="s">
        <v>2918</v>
      </c>
      <c r="N852" s="10" t="s">
        <v>2896</v>
      </c>
      <c r="O852" s="15">
        <f t="shared" si="1"/>
        <v>2005</v>
      </c>
      <c r="P852" s="16" t="str">
        <f t="shared" si="2"/>
        <v>USD</v>
      </c>
      <c r="Q852" s="15">
        <f>IFERROR(__xludf.DUMMYFUNCTION("IFNA(INDEX(GOOGLEFINANCE(""Currency:USD""&amp;$P852,""price"",DATE(YEAR($L852),MONTH($L852),DAY($L852))),2,2),LOOKUP(P852,CurrencyCodes,UnitsPerUSD))"),1.0)</f>
        <v>1</v>
      </c>
      <c r="R852" s="17">
        <f t="shared" si="3"/>
        <v>280000</v>
      </c>
    </row>
    <row r="853">
      <c r="A853" s="7">
        <v>43918.948195590274</v>
      </c>
      <c r="B853" s="8" t="s">
        <v>18</v>
      </c>
      <c r="C853" s="9">
        <v>1046.0</v>
      </c>
      <c r="D853" s="8" t="s">
        <v>2919</v>
      </c>
      <c r="E853" s="8" t="s">
        <v>2920</v>
      </c>
      <c r="F853" s="8" t="s">
        <v>2777</v>
      </c>
      <c r="G853" s="9">
        <v>16056.0</v>
      </c>
      <c r="H853" s="10" t="s">
        <v>1173</v>
      </c>
      <c r="I853" s="10" t="s">
        <v>39</v>
      </c>
      <c r="J853" s="11">
        <v>255000.0</v>
      </c>
      <c r="K853" s="10" t="s">
        <v>25</v>
      </c>
      <c r="L853" s="25">
        <v>43896.0</v>
      </c>
      <c r="M853" s="28" t="s">
        <v>2921</v>
      </c>
      <c r="N853" s="12" t="s">
        <v>2922</v>
      </c>
      <c r="O853" s="15">
        <f t="shared" si="1"/>
        <v>2020</v>
      </c>
      <c r="P853" s="16" t="str">
        <f t="shared" si="2"/>
        <v>USD</v>
      </c>
      <c r="Q853" s="15">
        <f>IFERROR(__xludf.DUMMYFUNCTION("IFNA(INDEX(GOOGLEFINANCE(""Currency:USD""&amp;$P853,""price"",DATE(YEAR($L853),MONTH($L853),DAY($L853))),2,2),LOOKUP(P853,CurrencyCodes,UnitsPerUSD))"),1.0)</f>
        <v>1</v>
      </c>
      <c r="R853" s="17">
        <f t="shared" si="3"/>
        <v>255000</v>
      </c>
    </row>
    <row r="854">
      <c r="A854" s="7">
        <v>44038.92339951389</v>
      </c>
      <c r="B854" s="8" t="s">
        <v>18</v>
      </c>
      <c r="C854" s="9">
        <v>62.0</v>
      </c>
      <c r="D854" s="8" t="s">
        <v>2923</v>
      </c>
      <c r="E854" s="8" t="s">
        <v>2924</v>
      </c>
      <c r="F854" s="8" t="s">
        <v>2777</v>
      </c>
      <c r="G854" s="9">
        <v>18840.0</v>
      </c>
      <c r="H854" s="10" t="s">
        <v>1173</v>
      </c>
      <c r="I854" s="10" t="s">
        <v>39</v>
      </c>
      <c r="J854" s="11">
        <v>315000.0</v>
      </c>
      <c r="K854" s="10" t="s">
        <v>25</v>
      </c>
      <c r="L854" s="25">
        <v>38874.0</v>
      </c>
      <c r="M854" s="28" t="s">
        <v>2925</v>
      </c>
      <c r="N854" s="10" t="s">
        <v>2926</v>
      </c>
      <c r="O854" s="15">
        <f t="shared" si="1"/>
        <v>2006</v>
      </c>
      <c r="P854" s="16" t="str">
        <f t="shared" si="2"/>
        <v>USD</v>
      </c>
      <c r="Q854" s="15">
        <f>IFERROR(__xludf.DUMMYFUNCTION("IFNA(INDEX(GOOGLEFINANCE(""Currency:USD""&amp;$P854,""price"",DATE(YEAR($L854),MONTH($L854),DAY($L854))),2,2),LOOKUP(P854,CurrencyCodes,UnitsPerUSD))"),1.0)</f>
        <v>1</v>
      </c>
      <c r="R854" s="17">
        <f t="shared" si="3"/>
        <v>315000</v>
      </c>
    </row>
    <row r="855">
      <c r="A855" s="7">
        <v>44041.247708738425</v>
      </c>
      <c r="B855" s="8" t="s">
        <v>18</v>
      </c>
      <c r="C855" s="9">
        <v>3450.0</v>
      </c>
      <c r="D855" s="8" t="s">
        <v>2927</v>
      </c>
      <c r="E855" s="8" t="s">
        <v>2928</v>
      </c>
      <c r="F855" s="8" t="s">
        <v>2777</v>
      </c>
      <c r="G855" s="9">
        <v>16801.0</v>
      </c>
      <c r="H855" s="10" t="s">
        <v>1173</v>
      </c>
      <c r="I855" s="10" t="s">
        <v>39</v>
      </c>
      <c r="J855" s="11">
        <v>525000.0</v>
      </c>
      <c r="K855" s="10" t="s">
        <v>25</v>
      </c>
      <c r="L855" s="25">
        <v>43672.0</v>
      </c>
      <c r="M855" s="28" t="s">
        <v>2929</v>
      </c>
      <c r="N855" s="12" t="s">
        <v>2930</v>
      </c>
      <c r="O855" s="15">
        <f t="shared" si="1"/>
        <v>2019</v>
      </c>
      <c r="P855" s="16" t="str">
        <f t="shared" si="2"/>
        <v>USD</v>
      </c>
      <c r="Q855" s="15">
        <f>IFERROR(__xludf.DUMMYFUNCTION("IFNA(INDEX(GOOGLEFINANCE(""Currency:USD""&amp;$P855,""price"",DATE(YEAR($L855),MONTH($L855),DAY($L855))),2,2),LOOKUP(P855,CurrencyCodes,UnitsPerUSD))"),1.0)</f>
        <v>1</v>
      </c>
      <c r="R855" s="17">
        <f t="shared" si="3"/>
        <v>525000</v>
      </c>
    </row>
    <row r="856">
      <c r="A856" s="7">
        <v>44041.259559293976</v>
      </c>
      <c r="B856" s="8" t="s">
        <v>18</v>
      </c>
      <c r="C856" s="9">
        <v>521.0</v>
      </c>
      <c r="D856" s="8" t="s">
        <v>2931</v>
      </c>
      <c r="E856" s="8" t="s">
        <v>2932</v>
      </c>
      <c r="F856" s="8" t="s">
        <v>2777</v>
      </c>
      <c r="G856" s="9">
        <v>18252.0</v>
      </c>
      <c r="H856" s="10" t="s">
        <v>1173</v>
      </c>
      <c r="I856" s="10" t="s">
        <v>39</v>
      </c>
      <c r="J856" s="11">
        <v>71500.0</v>
      </c>
      <c r="K856" s="10" t="s">
        <v>25</v>
      </c>
      <c r="L856" s="25">
        <v>43236.0</v>
      </c>
      <c r="M856" s="28" t="s">
        <v>2933</v>
      </c>
      <c r="N856" s="12" t="s">
        <v>2934</v>
      </c>
      <c r="O856" s="15">
        <f t="shared" si="1"/>
        <v>2018</v>
      </c>
      <c r="P856" s="16" t="str">
        <f t="shared" si="2"/>
        <v>USD</v>
      </c>
      <c r="Q856" s="15">
        <f>IFERROR(__xludf.DUMMYFUNCTION("IFNA(INDEX(GOOGLEFINANCE(""Currency:USD""&amp;$P856,""price"",DATE(YEAR($L856),MONTH($L856),DAY($L856))),2,2),LOOKUP(P856,CurrencyCodes,UnitsPerUSD))"),1.0)</f>
        <v>1</v>
      </c>
      <c r="R856" s="17">
        <f t="shared" si="3"/>
        <v>71500</v>
      </c>
    </row>
    <row r="857">
      <c r="A857" s="7">
        <v>43918.5457460301</v>
      </c>
      <c r="B857" s="8" t="s">
        <v>18</v>
      </c>
      <c r="C857" s="9">
        <v>401.0</v>
      </c>
      <c r="D857" s="8" t="s">
        <v>2935</v>
      </c>
      <c r="E857" s="8" t="s">
        <v>2936</v>
      </c>
      <c r="F857" s="8" t="s">
        <v>2777</v>
      </c>
      <c r="G857" s="9">
        <v>17981.0</v>
      </c>
      <c r="H857" s="10" t="s">
        <v>1173</v>
      </c>
      <c r="I857" s="10" t="s">
        <v>24</v>
      </c>
      <c r="J857" s="11">
        <v>187000.0</v>
      </c>
      <c r="K857" s="10" t="s">
        <v>25</v>
      </c>
      <c r="L857" s="25">
        <v>43748.0</v>
      </c>
      <c r="M857" s="28" t="s">
        <v>2937</v>
      </c>
      <c r="N857" s="12" t="s">
        <v>2938</v>
      </c>
      <c r="O857" s="15">
        <f t="shared" si="1"/>
        <v>2019</v>
      </c>
      <c r="P857" s="16" t="str">
        <f t="shared" si="2"/>
        <v>USD</v>
      </c>
      <c r="Q857" s="15">
        <f>IFERROR(__xludf.DUMMYFUNCTION("IFNA(INDEX(GOOGLEFINANCE(""Currency:USD""&amp;$P857,""price"",DATE(YEAR($L857),MONTH($L857),DAY($L857))),2,2),LOOKUP(P857,CurrencyCodes,UnitsPerUSD))"),1.0)</f>
        <v>1</v>
      </c>
      <c r="R857" s="17">
        <f t="shared" si="3"/>
        <v>187000</v>
      </c>
    </row>
    <row r="858">
      <c r="A858" s="7">
        <v>43918.550575636575</v>
      </c>
      <c r="B858" s="8" t="s">
        <v>18</v>
      </c>
      <c r="C858" s="9">
        <v>247.0</v>
      </c>
      <c r="D858" s="8" t="s">
        <v>2939</v>
      </c>
      <c r="E858" s="8" t="s">
        <v>2940</v>
      </c>
      <c r="F858" s="8" t="s">
        <v>2777</v>
      </c>
      <c r="G858" s="9"/>
      <c r="H858" s="10" t="s">
        <v>1173</v>
      </c>
      <c r="I858" s="10" t="s">
        <v>39</v>
      </c>
      <c r="J858" s="11">
        <v>430000.0</v>
      </c>
      <c r="K858" s="12" t="s">
        <v>25</v>
      </c>
      <c r="L858" s="22"/>
      <c r="M858" s="10"/>
      <c r="N858" s="12" t="s">
        <v>2941</v>
      </c>
      <c r="O858" s="15" t="str">
        <f t="shared" si="1"/>
        <v>Unknown</v>
      </c>
      <c r="P858" s="16" t="str">
        <f t="shared" si="2"/>
        <v>USD</v>
      </c>
      <c r="Q858" s="15">
        <f>IFERROR(__xludf.DUMMYFUNCTION("IFNA(INDEX(GOOGLEFINANCE(""Currency:USD""&amp;$P858,""price"",DATE(YEAR($L858),MONTH($L858),DAY($L858))),2,2),LOOKUP(P858,CurrencyCodes,UnitsPerUSD))"),1.0)</f>
        <v>1</v>
      </c>
      <c r="R858" s="17">
        <f t="shared" si="3"/>
        <v>430000</v>
      </c>
    </row>
    <row r="859">
      <c r="A859" s="7">
        <v>44034.2419003588</v>
      </c>
      <c r="B859" s="8" t="s">
        <v>18</v>
      </c>
      <c r="C859" s="9">
        <v>3535.0</v>
      </c>
      <c r="D859" s="8" t="s">
        <v>2942</v>
      </c>
      <c r="E859" s="8" t="s">
        <v>2943</v>
      </c>
      <c r="F859" s="8" t="s">
        <v>2777</v>
      </c>
      <c r="G859" s="9">
        <v>15137.0</v>
      </c>
      <c r="H859" s="10" t="s">
        <v>1173</v>
      </c>
      <c r="I859" s="10" t="s">
        <v>39</v>
      </c>
      <c r="J859" s="11">
        <v>215000.0</v>
      </c>
      <c r="K859" s="10" t="s">
        <v>25</v>
      </c>
      <c r="L859" s="25">
        <v>40653.0</v>
      </c>
      <c r="M859" s="28" t="s">
        <v>2944</v>
      </c>
      <c r="N859" s="12" t="s">
        <v>2945</v>
      </c>
      <c r="O859" s="15">
        <f t="shared" si="1"/>
        <v>2011</v>
      </c>
      <c r="P859" s="16" t="str">
        <f t="shared" si="2"/>
        <v>USD</v>
      </c>
      <c r="Q859" s="15">
        <f>IFERROR(__xludf.DUMMYFUNCTION("IFNA(INDEX(GOOGLEFINANCE(""Currency:USD""&amp;$P859,""price"",DATE(YEAR($L859),MONTH($L859),DAY($L859))),2,2),LOOKUP(P859,CurrencyCodes,UnitsPerUSD))"),1.0)</f>
        <v>1</v>
      </c>
      <c r="R859" s="17">
        <f t="shared" si="3"/>
        <v>215000</v>
      </c>
    </row>
    <row r="860">
      <c r="A860" s="7">
        <v>44041.27348938657</v>
      </c>
      <c r="B860" s="8" t="s">
        <v>18</v>
      </c>
      <c r="C860" s="9">
        <v>270.0</v>
      </c>
      <c r="D860" s="8" t="s">
        <v>2946</v>
      </c>
      <c r="E860" s="8" t="s">
        <v>2947</v>
      </c>
      <c r="F860" s="8" t="s">
        <v>2777</v>
      </c>
      <c r="G860" s="9">
        <v>17401.0</v>
      </c>
      <c r="H860" s="10" t="s">
        <v>1173</v>
      </c>
      <c r="I860" s="10" t="s">
        <v>39</v>
      </c>
      <c r="J860" s="11">
        <v>0.0</v>
      </c>
      <c r="K860" s="12" t="s">
        <v>25</v>
      </c>
      <c r="L860" s="13"/>
      <c r="M860" s="28" t="s">
        <v>2948</v>
      </c>
      <c r="N860" s="12" t="s">
        <v>2949</v>
      </c>
      <c r="O860" s="15" t="str">
        <f t="shared" si="1"/>
        <v>Unknown</v>
      </c>
      <c r="P860" s="16" t="str">
        <f t="shared" si="2"/>
        <v>USD</v>
      </c>
      <c r="Q860" s="15">
        <f>IFERROR(__xludf.DUMMYFUNCTION("IFNA(INDEX(GOOGLEFINANCE(""Currency:USD""&amp;$P860,""price"",DATE(YEAR($L860),MONTH($L860),DAY($L860))),2,2),LOOKUP(P860,CurrencyCodes,UnitsPerUSD))"),1.0)</f>
        <v>1</v>
      </c>
      <c r="R860" s="17">
        <f t="shared" si="3"/>
        <v>0</v>
      </c>
    </row>
    <row r="861">
      <c r="A861" s="7">
        <v>43900.90596427083</v>
      </c>
      <c r="B861" s="8" t="s">
        <v>18</v>
      </c>
      <c r="C861" s="9">
        <v>120.0</v>
      </c>
      <c r="D861" s="8" t="s">
        <v>2950</v>
      </c>
      <c r="E861" s="8" t="s">
        <v>2951</v>
      </c>
      <c r="F861" s="8" t="s">
        <v>2952</v>
      </c>
      <c r="G861" s="9">
        <v>29223.0</v>
      </c>
      <c r="H861" s="10" t="s">
        <v>1173</v>
      </c>
      <c r="I861" s="10" t="s">
        <v>39</v>
      </c>
      <c r="J861" s="11">
        <v>275000.0</v>
      </c>
      <c r="K861" s="10" t="s">
        <v>25</v>
      </c>
      <c r="L861" s="25">
        <v>43556.0</v>
      </c>
      <c r="M861" s="28" t="s">
        <v>2953</v>
      </c>
      <c r="N861" s="12" t="s">
        <v>2954</v>
      </c>
      <c r="O861" s="15">
        <f t="shared" si="1"/>
        <v>2019</v>
      </c>
      <c r="P861" s="16" t="str">
        <f t="shared" si="2"/>
        <v>USD</v>
      </c>
      <c r="Q861" s="15">
        <f>IFERROR(__xludf.DUMMYFUNCTION("IFNA(INDEX(GOOGLEFINANCE(""Currency:USD""&amp;$P861,""price"",DATE(YEAR($L861),MONTH($L861),DAY($L861))),2,2),LOOKUP(P861,CurrencyCodes,UnitsPerUSD))"),1.0)</f>
        <v>1</v>
      </c>
      <c r="R861" s="17">
        <f t="shared" si="3"/>
        <v>275000</v>
      </c>
    </row>
    <row r="862">
      <c r="A862" s="7">
        <v>43897.72131986111</v>
      </c>
      <c r="B862" s="8" t="s">
        <v>18</v>
      </c>
      <c r="C862" s="9" t="s">
        <v>2955</v>
      </c>
      <c r="D862" s="8" t="s">
        <v>2956</v>
      </c>
      <c r="E862" s="8" t="s">
        <v>2957</v>
      </c>
      <c r="F862" s="8" t="s">
        <v>2958</v>
      </c>
      <c r="G862" s="9"/>
      <c r="H862" s="10" t="s">
        <v>1173</v>
      </c>
      <c r="I862" s="10" t="s">
        <v>39</v>
      </c>
      <c r="J862" s="11">
        <v>399500.0</v>
      </c>
      <c r="K862" s="12" t="s">
        <v>25</v>
      </c>
      <c r="L862" s="22"/>
      <c r="M862" s="10"/>
      <c r="N862" s="12" t="s">
        <v>2959</v>
      </c>
      <c r="O862" s="15" t="str">
        <f t="shared" si="1"/>
        <v>Unknown</v>
      </c>
      <c r="P862" s="16" t="str">
        <f t="shared" si="2"/>
        <v>USD</v>
      </c>
      <c r="Q862" s="15">
        <f>IFERROR(__xludf.DUMMYFUNCTION("IFNA(INDEX(GOOGLEFINANCE(""Currency:USD""&amp;$P862,""price"",DATE(YEAR($L862),MONTH($L862),DAY($L862))),2,2),LOOKUP(P862,CurrencyCodes,UnitsPerUSD))"),1.0)</f>
        <v>1</v>
      </c>
      <c r="R862" s="17">
        <f t="shared" si="3"/>
        <v>399500</v>
      </c>
    </row>
    <row r="863">
      <c r="A863" s="7">
        <v>43918.55575666667</v>
      </c>
      <c r="B863" s="18" t="s">
        <v>18</v>
      </c>
      <c r="C863" s="19">
        <v>1230.0</v>
      </c>
      <c r="D863" s="18" t="s">
        <v>2960</v>
      </c>
      <c r="E863" s="18" t="s">
        <v>2961</v>
      </c>
      <c r="F863" s="8" t="s">
        <v>2962</v>
      </c>
      <c r="G863" s="19">
        <v>37724.0</v>
      </c>
      <c r="H863" s="21" t="s">
        <v>1173</v>
      </c>
      <c r="I863" s="21" t="s">
        <v>39</v>
      </c>
      <c r="J863" s="11">
        <v>244900.0</v>
      </c>
      <c r="K863" s="21" t="s">
        <v>25</v>
      </c>
      <c r="L863" s="25">
        <v>43399.0</v>
      </c>
      <c r="M863" s="24" t="s">
        <v>2963</v>
      </c>
      <c r="N863" s="12" t="s">
        <v>2964</v>
      </c>
      <c r="O863" s="15">
        <f t="shared" si="1"/>
        <v>2018</v>
      </c>
      <c r="P863" s="16" t="str">
        <f t="shared" si="2"/>
        <v>USD</v>
      </c>
      <c r="Q863" s="15">
        <f>IFERROR(__xludf.DUMMYFUNCTION("IFNA(INDEX(GOOGLEFINANCE(""Currency:USD""&amp;$P863,""price"",DATE(YEAR($L863),MONTH($L863),DAY($L863))),2,2),LOOKUP(P863,CurrencyCodes,UnitsPerUSD))"),1.0)</f>
        <v>1</v>
      </c>
      <c r="R863" s="17">
        <f t="shared" si="3"/>
        <v>244900</v>
      </c>
    </row>
    <row r="864">
      <c r="A864" s="7">
        <v>43900.874691516205</v>
      </c>
      <c r="B864" s="18" t="s">
        <v>18</v>
      </c>
      <c r="C864" s="19"/>
      <c r="D864" s="18"/>
      <c r="E864" s="18" t="s">
        <v>2965</v>
      </c>
      <c r="F864" s="18" t="s">
        <v>2966</v>
      </c>
      <c r="G864" s="19"/>
      <c r="H864" s="21" t="s">
        <v>1173</v>
      </c>
      <c r="I864" s="21" t="s">
        <v>24</v>
      </c>
      <c r="J864" s="11">
        <v>425000.0</v>
      </c>
      <c r="K864" s="27" t="s">
        <v>25</v>
      </c>
      <c r="L864" s="22"/>
      <c r="M864" s="21"/>
      <c r="N864" s="12" t="s">
        <v>2967</v>
      </c>
      <c r="O864" s="15" t="str">
        <f t="shared" si="1"/>
        <v>Unknown</v>
      </c>
      <c r="P864" s="16" t="str">
        <f t="shared" si="2"/>
        <v>USD</v>
      </c>
      <c r="Q864" s="15">
        <f>IFERROR(__xludf.DUMMYFUNCTION("IFNA(INDEX(GOOGLEFINANCE(""Currency:USD""&amp;$P864,""price"",DATE(YEAR($L864),MONTH($L864),DAY($L864))),2,2),LOOKUP(P864,CurrencyCodes,UnitsPerUSD))"),1.0)</f>
        <v>1</v>
      </c>
      <c r="R864" s="17">
        <f t="shared" si="3"/>
        <v>425000</v>
      </c>
    </row>
    <row r="865">
      <c r="A865" s="7">
        <v>43897.49025859954</v>
      </c>
      <c r="B865" s="18" t="s">
        <v>18</v>
      </c>
      <c r="C865" s="19">
        <v>2804.0</v>
      </c>
      <c r="D865" s="18" t="s">
        <v>2968</v>
      </c>
      <c r="E865" s="18" t="s">
        <v>2969</v>
      </c>
      <c r="F865" s="18" t="s">
        <v>2966</v>
      </c>
      <c r="G865" s="9"/>
      <c r="H865" s="21" t="s">
        <v>1173</v>
      </c>
      <c r="I865" s="21" t="s">
        <v>39</v>
      </c>
      <c r="J865" s="11">
        <v>160000.0</v>
      </c>
      <c r="K865" s="27" t="s">
        <v>25</v>
      </c>
      <c r="L865" s="22"/>
      <c r="M865" s="21"/>
      <c r="N865" s="10"/>
      <c r="O865" s="15" t="str">
        <f t="shared" si="1"/>
        <v>Unknown</v>
      </c>
      <c r="P865" s="16" t="str">
        <f t="shared" si="2"/>
        <v>USD</v>
      </c>
      <c r="Q865" s="15">
        <f>IFERROR(__xludf.DUMMYFUNCTION("IFNA(INDEX(GOOGLEFINANCE(""Currency:USD""&amp;$P865,""price"",DATE(YEAR($L865),MONTH($L865),DAY($L865))),2,2),LOOKUP(P865,CurrencyCodes,UnitsPerUSD))"),1.0)</f>
        <v>1</v>
      </c>
      <c r="R865" s="17">
        <f t="shared" si="3"/>
        <v>160000</v>
      </c>
    </row>
    <row r="866">
      <c r="A866" s="7">
        <v>43897.716217928246</v>
      </c>
      <c r="B866" s="18" t="s">
        <v>18</v>
      </c>
      <c r="C866" s="19">
        <v>120.0</v>
      </c>
      <c r="D866" s="18" t="s">
        <v>2970</v>
      </c>
      <c r="E866" s="18" t="s">
        <v>2971</v>
      </c>
      <c r="F866" s="18" t="s">
        <v>2966</v>
      </c>
      <c r="G866" s="19"/>
      <c r="H866" s="21" t="s">
        <v>1173</v>
      </c>
      <c r="I866" s="21" t="s">
        <v>39</v>
      </c>
      <c r="J866" s="11">
        <v>215000.0</v>
      </c>
      <c r="K866" s="27" t="s">
        <v>25</v>
      </c>
      <c r="L866" s="22"/>
      <c r="M866" s="21"/>
      <c r="N866" s="10"/>
      <c r="O866" s="15" t="str">
        <f t="shared" si="1"/>
        <v>Unknown</v>
      </c>
      <c r="P866" s="16" t="str">
        <f t="shared" si="2"/>
        <v>USD</v>
      </c>
      <c r="Q866" s="15">
        <f>IFERROR(__xludf.DUMMYFUNCTION("IFNA(INDEX(GOOGLEFINANCE(""Currency:USD""&amp;$P866,""price"",DATE(YEAR($L866),MONTH($L866),DAY($L866))),2,2),LOOKUP(P866,CurrencyCodes,UnitsPerUSD))"),1.0)</f>
        <v>1</v>
      </c>
      <c r="R866" s="17">
        <f t="shared" si="3"/>
        <v>215000</v>
      </c>
    </row>
    <row r="867">
      <c r="A867" s="7">
        <v>43898.52781649306</v>
      </c>
      <c r="B867" s="18" t="s">
        <v>18</v>
      </c>
      <c r="C867" s="19">
        <v>110.0</v>
      </c>
      <c r="D867" s="18" t="s">
        <v>2972</v>
      </c>
      <c r="E867" s="18" t="s">
        <v>2973</v>
      </c>
      <c r="F867" s="18" t="s">
        <v>2966</v>
      </c>
      <c r="G867" s="19"/>
      <c r="H867" s="21" t="s">
        <v>1173</v>
      </c>
      <c r="I867" s="21" t="s">
        <v>39</v>
      </c>
      <c r="J867" s="11">
        <v>156000.0</v>
      </c>
      <c r="K867" s="21" t="s">
        <v>25</v>
      </c>
      <c r="L867" s="25">
        <v>42312.0</v>
      </c>
      <c r="M867" s="21"/>
      <c r="N867" s="10"/>
      <c r="O867" s="15">
        <f t="shared" si="1"/>
        <v>2015</v>
      </c>
      <c r="P867" s="16" t="str">
        <f t="shared" si="2"/>
        <v>USD</v>
      </c>
      <c r="Q867" s="15">
        <f>IFERROR(__xludf.DUMMYFUNCTION("IFNA(INDEX(GOOGLEFINANCE(""Currency:USD""&amp;$P867,""price"",DATE(YEAR($L867),MONTH($L867),DAY($L867))),2,2),LOOKUP(P867,CurrencyCodes,UnitsPerUSD))"),1.0)</f>
        <v>1</v>
      </c>
      <c r="R867" s="17">
        <f t="shared" si="3"/>
        <v>156000</v>
      </c>
    </row>
    <row r="868">
      <c r="A868" s="7">
        <v>43975.38663447917</v>
      </c>
      <c r="B868" s="8" t="s">
        <v>18</v>
      </c>
      <c r="C868" s="9">
        <v>626.0</v>
      </c>
      <c r="D868" s="8" t="s">
        <v>2974</v>
      </c>
      <c r="E868" s="8" t="s">
        <v>1443</v>
      </c>
      <c r="F868" s="8" t="s">
        <v>2966</v>
      </c>
      <c r="G868" s="9">
        <v>75840.0</v>
      </c>
      <c r="H868" s="10" t="s">
        <v>1173</v>
      </c>
      <c r="I868" s="10" t="s">
        <v>24</v>
      </c>
      <c r="J868" s="11">
        <v>220000.0</v>
      </c>
      <c r="K868" s="10" t="s">
        <v>25</v>
      </c>
      <c r="L868" s="25">
        <v>43915.0</v>
      </c>
      <c r="M868" s="28" t="s">
        <v>2975</v>
      </c>
      <c r="N868" s="12" t="s">
        <v>2976</v>
      </c>
      <c r="O868" s="15">
        <f t="shared" si="1"/>
        <v>2020</v>
      </c>
      <c r="P868" s="16" t="str">
        <f t="shared" si="2"/>
        <v>USD</v>
      </c>
      <c r="Q868" s="15">
        <f>IFERROR(__xludf.DUMMYFUNCTION("IFNA(INDEX(GOOGLEFINANCE(""Currency:USD""&amp;$P868,""price"",DATE(YEAR($L868),MONTH($L868),DAY($L868))),2,2),LOOKUP(P868,CurrencyCodes,UnitsPerUSD))"),1.0)</f>
        <v>1</v>
      </c>
      <c r="R868" s="17">
        <f t="shared" si="3"/>
        <v>220000</v>
      </c>
    </row>
    <row r="869">
      <c r="A869" s="7">
        <v>43906.845818692134</v>
      </c>
      <c r="B869" s="18" t="s">
        <v>18</v>
      </c>
      <c r="C869" s="19">
        <v>11914.0</v>
      </c>
      <c r="D869" s="18" t="s">
        <v>2977</v>
      </c>
      <c r="E869" s="18" t="s">
        <v>2978</v>
      </c>
      <c r="F869" s="18" t="s">
        <v>2966</v>
      </c>
      <c r="G869" s="19">
        <v>77072.0</v>
      </c>
      <c r="H869" s="21" t="s">
        <v>1173</v>
      </c>
      <c r="I869" s="21" t="s">
        <v>39</v>
      </c>
      <c r="J869" s="11">
        <v>413309.0</v>
      </c>
      <c r="K869" s="21" t="s">
        <v>25</v>
      </c>
      <c r="L869" s="25">
        <v>40179.0</v>
      </c>
      <c r="M869" s="24" t="s">
        <v>2979</v>
      </c>
      <c r="N869" s="21" t="s">
        <v>2980</v>
      </c>
      <c r="O869" s="15">
        <f t="shared" si="1"/>
        <v>2010</v>
      </c>
      <c r="P869" s="16" t="str">
        <f t="shared" si="2"/>
        <v>USD</v>
      </c>
      <c r="Q869" s="15">
        <f>IFERROR(__xludf.DUMMYFUNCTION("IFNA(INDEX(GOOGLEFINANCE(""Currency:USD""&amp;$P869,""price"",DATE(YEAR($L869),MONTH($L869),DAY($L869))),2,2),LOOKUP(P869,CurrencyCodes,UnitsPerUSD))"),1.0)</f>
        <v>1</v>
      </c>
      <c r="R869" s="17">
        <f t="shared" si="3"/>
        <v>413309</v>
      </c>
    </row>
    <row r="870">
      <c r="A870" s="7">
        <v>43906.853141597225</v>
      </c>
      <c r="B870" s="18" t="s">
        <v>18</v>
      </c>
      <c r="C870" s="19">
        <v>4934.0</v>
      </c>
      <c r="D870" s="18" t="s">
        <v>2981</v>
      </c>
      <c r="E870" s="18" t="s">
        <v>2978</v>
      </c>
      <c r="F870" s="8" t="s">
        <v>2966</v>
      </c>
      <c r="G870" s="19">
        <v>77016.0</v>
      </c>
      <c r="H870" s="21" t="s">
        <v>1173</v>
      </c>
      <c r="I870" s="21" t="s">
        <v>39</v>
      </c>
      <c r="J870" s="11">
        <v>110000.0</v>
      </c>
      <c r="K870" s="21" t="s">
        <v>25</v>
      </c>
      <c r="L870" s="25">
        <v>40515.0</v>
      </c>
      <c r="M870" s="24" t="s">
        <v>2982</v>
      </c>
      <c r="N870" s="21" t="s">
        <v>2983</v>
      </c>
      <c r="O870" s="15">
        <f t="shared" si="1"/>
        <v>2010</v>
      </c>
      <c r="P870" s="16" t="str">
        <f t="shared" si="2"/>
        <v>USD</v>
      </c>
      <c r="Q870" s="15">
        <f>IFERROR(__xludf.DUMMYFUNCTION("IFNA(INDEX(GOOGLEFINANCE(""Currency:USD""&amp;$P870,""price"",DATE(YEAR($L870),MONTH($L870),DAY($L870))),2,2),LOOKUP(P870,CurrencyCodes,UnitsPerUSD))"),1.0)</f>
        <v>1</v>
      </c>
      <c r="R870" s="17">
        <f t="shared" si="3"/>
        <v>110000</v>
      </c>
    </row>
    <row r="871">
      <c r="A871" s="7">
        <v>43917.27268336806</v>
      </c>
      <c r="B871" s="8" t="s">
        <v>18</v>
      </c>
      <c r="C871" s="9">
        <v>23788.0</v>
      </c>
      <c r="D871" s="8" t="s">
        <v>2984</v>
      </c>
      <c r="E871" s="8" t="s">
        <v>2985</v>
      </c>
      <c r="F871" s="8" t="s">
        <v>2966</v>
      </c>
      <c r="G871" s="9">
        <v>77365.0</v>
      </c>
      <c r="H871" s="10" t="s">
        <v>1173</v>
      </c>
      <c r="I871" s="10" t="s">
        <v>39</v>
      </c>
      <c r="J871" s="11">
        <v>325000.0</v>
      </c>
      <c r="K871" s="10" t="s">
        <v>25</v>
      </c>
      <c r="L871" s="25">
        <v>42264.0</v>
      </c>
      <c r="M871" s="14" t="s">
        <v>2986</v>
      </c>
      <c r="N871" s="10"/>
      <c r="O871" s="15">
        <f t="shared" si="1"/>
        <v>2015</v>
      </c>
      <c r="P871" s="16" t="str">
        <f t="shared" si="2"/>
        <v>USD</v>
      </c>
      <c r="Q871" s="15">
        <f>IFERROR(__xludf.DUMMYFUNCTION("IFNA(INDEX(GOOGLEFINANCE(""Currency:USD""&amp;$P871,""price"",DATE(YEAR($L871),MONTH($L871),DAY($L871))),2,2),LOOKUP(P871,CurrencyCodes,UnitsPerUSD))"),1.0)</f>
        <v>1</v>
      </c>
      <c r="R871" s="17">
        <f t="shared" si="3"/>
        <v>325000</v>
      </c>
    </row>
    <row r="872">
      <c r="A872" s="7">
        <v>43918.753691157406</v>
      </c>
      <c r="B872" s="18" t="s">
        <v>18</v>
      </c>
      <c r="C872" s="19">
        <v>550.0</v>
      </c>
      <c r="D872" s="18" t="s">
        <v>2987</v>
      </c>
      <c r="E872" s="18" t="s">
        <v>2988</v>
      </c>
      <c r="F872" s="18" t="s">
        <v>2966</v>
      </c>
      <c r="G872" s="19">
        <v>78221.0</v>
      </c>
      <c r="H872" s="21" t="s">
        <v>1173</v>
      </c>
      <c r="I872" s="21" t="s">
        <v>39</v>
      </c>
      <c r="J872" s="11">
        <v>0.0</v>
      </c>
      <c r="K872" s="21" t="s">
        <v>25</v>
      </c>
      <c r="L872" s="25">
        <v>42907.0</v>
      </c>
      <c r="M872" s="31" t="s">
        <v>2989</v>
      </c>
      <c r="N872" s="10"/>
      <c r="O872" s="15">
        <f t="shared" si="1"/>
        <v>2017</v>
      </c>
      <c r="P872" s="16" t="str">
        <f t="shared" si="2"/>
        <v>USD</v>
      </c>
      <c r="Q872" s="15">
        <f>IFERROR(__xludf.DUMMYFUNCTION("IFNA(INDEX(GOOGLEFINANCE(""Currency:USD""&amp;$P872,""price"",DATE(YEAR($L872),MONTH($L872),DAY($L872))),2,2),LOOKUP(P872,CurrencyCodes,UnitsPerUSD))"),1.0)</f>
        <v>1</v>
      </c>
      <c r="R872" s="17">
        <f t="shared" si="3"/>
        <v>0</v>
      </c>
    </row>
    <row r="873">
      <c r="A873" s="7">
        <v>43918.745479363424</v>
      </c>
      <c r="B873" s="18" t="s">
        <v>18</v>
      </c>
      <c r="C873" s="19">
        <v>224.0</v>
      </c>
      <c r="D873" s="18" t="s">
        <v>2990</v>
      </c>
      <c r="E873" s="18" t="s">
        <v>2988</v>
      </c>
      <c r="F873" s="18" t="s">
        <v>2966</v>
      </c>
      <c r="G873" s="19">
        <v>78237.0</v>
      </c>
      <c r="H873" s="21" t="s">
        <v>1173</v>
      </c>
      <c r="I873" s="21" t="s">
        <v>39</v>
      </c>
      <c r="J873" s="11">
        <v>310000.0</v>
      </c>
      <c r="K873" s="21" t="s">
        <v>25</v>
      </c>
      <c r="L873" s="25">
        <v>43101.0</v>
      </c>
      <c r="M873" s="24" t="s">
        <v>2991</v>
      </c>
      <c r="N873" s="12" t="s">
        <v>2992</v>
      </c>
      <c r="O873" s="15">
        <f t="shared" si="1"/>
        <v>2018</v>
      </c>
      <c r="P873" s="16" t="str">
        <f t="shared" si="2"/>
        <v>USD</v>
      </c>
      <c r="Q873" s="15">
        <f>IFERROR(__xludf.DUMMYFUNCTION("IFNA(INDEX(GOOGLEFINANCE(""Currency:USD""&amp;$P873,""price"",DATE(YEAR($L873),MONTH($L873),DAY($L873))),2,2),LOOKUP(P873,CurrencyCodes,UnitsPerUSD))"),1.0)</f>
        <v>1</v>
      </c>
      <c r="R873" s="17">
        <f t="shared" si="3"/>
        <v>310000</v>
      </c>
    </row>
    <row r="874">
      <c r="A874" s="7">
        <v>43918.780764571755</v>
      </c>
      <c r="B874" s="18" t="s">
        <v>18</v>
      </c>
      <c r="C874" s="19">
        <v>4509.0</v>
      </c>
      <c r="D874" s="18" t="s">
        <v>2993</v>
      </c>
      <c r="E874" s="18" t="s">
        <v>2988</v>
      </c>
      <c r="F874" s="18" t="s">
        <v>2966</v>
      </c>
      <c r="G874" s="19">
        <v>78221.0</v>
      </c>
      <c r="H874" s="21" t="s">
        <v>1173</v>
      </c>
      <c r="I874" s="21" t="s">
        <v>39</v>
      </c>
      <c r="J874" s="11">
        <v>249000.0</v>
      </c>
      <c r="K874" s="21" t="s">
        <v>25</v>
      </c>
      <c r="L874" s="25">
        <v>43172.0</v>
      </c>
      <c r="M874" s="28" t="s">
        <v>2994</v>
      </c>
      <c r="N874" s="10" t="s">
        <v>2995</v>
      </c>
      <c r="O874" s="15">
        <f t="shared" si="1"/>
        <v>2018</v>
      </c>
      <c r="P874" s="16" t="str">
        <f t="shared" si="2"/>
        <v>USD</v>
      </c>
      <c r="Q874" s="15">
        <f>IFERROR(__xludf.DUMMYFUNCTION("IFNA(INDEX(GOOGLEFINANCE(""Currency:USD""&amp;$P874,""price"",DATE(YEAR($L874),MONTH($L874),DAY($L874))),2,2),LOOKUP(P874,CurrencyCodes,UnitsPerUSD))"),1.0)</f>
        <v>1</v>
      </c>
      <c r="R874" s="17">
        <f t="shared" si="3"/>
        <v>249000</v>
      </c>
    </row>
    <row r="875">
      <c r="A875" s="7">
        <v>43919.63732577546</v>
      </c>
      <c r="B875" s="8" t="s">
        <v>18</v>
      </c>
      <c r="C875" s="9">
        <v>3003.0</v>
      </c>
      <c r="D875" s="8" t="s">
        <v>2996</v>
      </c>
      <c r="E875" s="8" t="s">
        <v>2997</v>
      </c>
      <c r="F875" s="8" t="s">
        <v>2966</v>
      </c>
      <c r="G875" s="9">
        <v>75503.0</v>
      </c>
      <c r="H875" s="10" t="s">
        <v>1173</v>
      </c>
      <c r="I875" s="10" t="s">
        <v>39</v>
      </c>
      <c r="J875" s="11">
        <v>105000.0</v>
      </c>
      <c r="K875" s="10" t="s">
        <v>25</v>
      </c>
      <c r="L875" s="25">
        <v>43699.0</v>
      </c>
      <c r="M875" s="28" t="s">
        <v>2998</v>
      </c>
      <c r="N875" s="12" t="s">
        <v>2999</v>
      </c>
      <c r="O875" s="15">
        <f t="shared" si="1"/>
        <v>2019</v>
      </c>
      <c r="P875" s="16" t="str">
        <f t="shared" si="2"/>
        <v>USD</v>
      </c>
      <c r="Q875" s="15">
        <f>IFERROR(__xludf.DUMMYFUNCTION("IFNA(INDEX(GOOGLEFINANCE(""Currency:USD""&amp;$P875,""price"",DATE(YEAR($L875),MONTH($L875),DAY($L875))),2,2),LOOKUP(P875,CurrencyCodes,UnitsPerUSD))"),1.0)</f>
        <v>1</v>
      </c>
      <c r="R875" s="17">
        <f t="shared" si="3"/>
        <v>105000</v>
      </c>
    </row>
    <row r="876">
      <c r="A876" s="7">
        <v>43918.54816924769</v>
      </c>
      <c r="B876" s="8" t="s">
        <v>18</v>
      </c>
      <c r="C876" s="9">
        <v>205.0</v>
      </c>
      <c r="D876" s="8" t="s">
        <v>3000</v>
      </c>
      <c r="E876" s="8" t="s">
        <v>3001</v>
      </c>
      <c r="F876" s="8" t="s">
        <v>2966</v>
      </c>
      <c r="G876" s="9">
        <v>79855.0</v>
      </c>
      <c r="H876" s="10" t="s">
        <v>1173</v>
      </c>
      <c r="I876" s="10" t="s">
        <v>39</v>
      </c>
      <c r="J876" s="11">
        <v>90000.0</v>
      </c>
      <c r="K876" s="10" t="s">
        <v>25</v>
      </c>
      <c r="L876" s="25">
        <v>43224.0</v>
      </c>
      <c r="M876" s="14" t="s">
        <v>3002</v>
      </c>
      <c r="N876" s="10"/>
      <c r="O876" s="15">
        <f t="shared" si="1"/>
        <v>2018</v>
      </c>
      <c r="P876" s="16" t="str">
        <f t="shared" si="2"/>
        <v>USD</v>
      </c>
      <c r="Q876" s="15">
        <f>IFERROR(__xludf.DUMMYFUNCTION("IFNA(INDEX(GOOGLEFINANCE(""Currency:USD""&amp;$P876,""price"",DATE(YEAR($L876),MONTH($L876),DAY($L876))),2,2),LOOKUP(P876,CurrencyCodes,UnitsPerUSD))"),1.0)</f>
        <v>1</v>
      </c>
      <c r="R876" s="17">
        <f t="shared" si="3"/>
        <v>90000</v>
      </c>
    </row>
    <row r="877">
      <c r="A877" s="7">
        <v>43920.88318741898</v>
      </c>
      <c r="B877" s="18" t="s">
        <v>18</v>
      </c>
      <c r="C877" s="19">
        <v>1189.0</v>
      </c>
      <c r="D877" s="18" t="s">
        <v>3003</v>
      </c>
      <c r="E877" s="18" t="s">
        <v>3004</v>
      </c>
      <c r="F877" s="18" t="s">
        <v>2966</v>
      </c>
      <c r="G877" s="9">
        <v>78962.0</v>
      </c>
      <c r="H877" s="21" t="s">
        <v>1173</v>
      </c>
      <c r="I877" s="21" t="s">
        <v>24</v>
      </c>
      <c r="J877" s="11">
        <v>155000.0</v>
      </c>
      <c r="K877" s="21" t="s">
        <v>25</v>
      </c>
      <c r="L877" s="25">
        <v>43859.0</v>
      </c>
      <c r="M877" s="31" t="s">
        <v>3005</v>
      </c>
      <c r="N877" s="21"/>
      <c r="O877" s="15">
        <f t="shared" si="1"/>
        <v>2020</v>
      </c>
      <c r="P877" s="16" t="str">
        <f t="shared" si="2"/>
        <v>USD</v>
      </c>
      <c r="Q877" s="15">
        <f>IFERROR(__xludf.DUMMYFUNCTION("IFNA(INDEX(GOOGLEFINANCE(""Currency:USD""&amp;$P877,""price"",DATE(YEAR($L877),MONTH($L877),DAY($L877))),2,2),LOOKUP(P877,CurrencyCodes,UnitsPerUSD))"),1.0)</f>
        <v>1</v>
      </c>
      <c r="R877" s="17">
        <f t="shared" si="3"/>
        <v>155000</v>
      </c>
    </row>
    <row r="878">
      <c r="A878" s="7">
        <v>44017.935757349536</v>
      </c>
      <c r="B878" s="8" t="s">
        <v>18</v>
      </c>
      <c r="C878" s="9">
        <v>208.0</v>
      </c>
      <c r="D878" s="8" t="s">
        <v>3006</v>
      </c>
      <c r="E878" s="8" t="s">
        <v>3007</v>
      </c>
      <c r="F878" s="8" t="s">
        <v>3008</v>
      </c>
      <c r="G878" s="9">
        <v>24541.0</v>
      </c>
      <c r="H878" s="10" t="s">
        <v>1173</v>
      </c>
      <c r="I878" s="10" t="s">
        <v>39</v>
      </c>
      <c r="J878" s="11">
        <v>0.0</v>
      </c>
      <c r="K878" s="12" t="s">
        <v>25</v>
      </c>
      <c r="L878" s="13"/>
      <c r="M878" s="28" t="s">
        <v>3009</v>
      </c>
      <c r="N878" s="12" t="s">
        <v>3010</v>
      </c>
      <c r="O878" s="15" t="str">
        <f t="shared" si="1"/>
        <v>Unknown</v>
      </c>
      <c r="P878" s="16" t="str">
        <f t="shared" si="2"/>
        <v>USD</v>
      </c>
      <c r="Q878" s="15">
        <f>IFERROR(__xludf.DUMMYFUNCTION("IFNA(INDEX(GOOGLEFINANCE(""Currency:USD""&amp;$P878,""price"",DATE(YEAR($L878),MONTH($L878),DAY($L878))),2,2),LOOKUP(P878,CurrencyCodes,UnitsPerUSD))"),1.0)</f>
        <v>1</v>
      </c>
      <c r="R878" s="17">
        <f t="shared" si="3"/>
        <v>0</v>
      </c>
    </row>
    <row r="879">
      <c r="A879" s="7">
        <v>44017.92883880787</v>
      </c>
      <c r="B879" s="8" t="s">
        <v>18</v>
      </c>
      <c r="C879" s="9">
        <v>300.0</v>
      </c>
      <c r="D879" s="8" t="s">
        <v>3011</v>
      </c>
      <c r="E879" s="8" t="s">
        <v>3007</v>
      </c>
      <c r="F879" s="8" t="s">
        <v>3008</v>
      </c>
      <c r="G879" s="9">
        <v>24540.0</v>
      </c>
      <c r="H879" s="10" t="s">
        <v>1173</v>
      </c>
      <c r="I879" s="10" t="s">
        <v>39</v>
      </c>
      <c r="J879" s="11">
        <v>450000.0</v>
      </c>
      <c r="K879" s="10" t="s">
        <v>25</v>
      </c>
      <c r="L879" s="25">
        <v>43985.0</v>
      </c>
      <c r="M879" s="28" t="s">
        <v>3012</v>
      </c>
      <c r="N879" s="12" t="s">
        <v>3013</v>
      </c>
      <c r="O879" s="15">
        <f t="shared" si="1"/>
        <v>2020</v>
      </c>
      <c r="P879" s="16" t="str">
        <f t="shared" si="2"/>
        <v>USD</v>
      </c>
      <c r="Q879" s="15">
        <f>IFERROR(__xludf.DUMMYFUNCTION("IFNA(INDEX(GOOGLEFINANCE(""Currency:USD""&amp;$P879,""price"",DATE(YEAR($L879),MONTH($L879),DAY($L879))),2,2),LOOKUP(P879,CurrencyCodes,UnitsPerUSD))"),1.0)</f>
        <v>1</v>
      </c>
      <c r="R879" s="17">
        <f t="shared" si="3"/>
        <v>450000</v>
      </c>
    </row>
    <row r="880">
      <c r="A880" s="7">
        <v>44060.03529071759</v>
      </c>
      <c r="B880" s="8" t="s">
        <v>18</v>
      </c>
      <c r="C880" s="9">
        <v>7840.0</v>
      </c>
      <c r="D880" s="8" t="s">
        <v>3014</v>
      </c>
      <c r="E880" s="8" t="s">
        <v>3015</v>
      </c>
      <c r="F880" s="8" t="s">
        <v>3008</v>
      </c>
      <c r="G880" s="9">
        <v>23061.0</v>
      </c>
      <c r="H880" s="10" t="s">
        <v>1173</v>
      </c>
      <c r="I880" s="10" t="s">
        <v>24</v>
      </c>
      <c r="J880" s="11">
        <v>289000.0</v>
      </c>
      <c r="K880" s="12" t="s">
        <v>25</v>
      </c>
      <c r="L880" s="13"/>
      <c r="M880" s="14" t="s">
        <v>3016</v>
      </c>
      <c r="N880" s="10"/>
      <c r="O880" s="15" t="str">
        <f t="shared" si="1"/>
        <v>Unknown</v>
      </c>
      <c r="P880" s="16" t="str">
        <f t="shared" si="2"/>
        <v>USD</v>
      </c>
      <c r="Q880" s="15">
        <f>IFERROR(__xludf.DUMMYFUNCTION("IFNA(INDEX(GOOGLEFINANCE(""Currency:USD""&amp;$P880,""price"",DATE(YEAR($L880),MONTH($L880),DAY($L880))),2,2),LOOKUP(P880,CurrencyCodes,UnitsPerUSD))"),1.0)</f>
        <v>1</v>
      </c>
      <c r="R880" s="17">
        <f t="shared" si="3"/>
        <v>289000</v>
      </c>
    </row>
    <row r="881">
      <c r="A881" s="7">
        <v>43974.4401115625</v>
      </c>
      <c r="B881" s="8" t="s">
        <v>18</v>
      </c>
      <c r="C881" s="9">
        <v>131.0</v>
      </c>
      <c r="D881" s="8" t="s">
        <v>3017</v>
      </c>
      <c r="E881" s="8" t="s">
        <v>3018</v>
      </c>
      <c r="F881" s="8" t="s">
        <v>3008</v>
      </c>
      <c r="G881" s="9">
        <v>23114.0</v>
      </c>
      <c r="H881" s="10" t="s">
        <v>1173</v>
      </c>
      <c r="I881" s="10" t="s">
        <v>24</v>
      </c>
      <c r="J881" s="11">
        <v>645000.0</v>
      </c>
      <c r="K881" s="10" t="s">
        <v>25</v>
      </c>
      <c r="L881" s="25">
        <v>43942.0</v>
      </c>
      <c r="M881" s="14" t="s">
        <v>3019</v>
      </c>
      <c r="N881" s="10"/>
      <c r="O881" s="15">
        <f t="shared" si="1"/>
        <v>2020</v>
      </c>
      <c r="P881" s="16" t="str">
        <f t="shared" si="2"/>
        <v>USD</v>
      </c>
      <c r="Q881" s="15">
        <f>IFERROR(__xludf.DUMMYFUNCTION("IFNA(INDEX(GOOGLEFINANCE(""Currency:USD""&amp;$P881,""price"",DATE(YEAR($L881),MONTH($L881),DAY($L881))),2,2),LOOKUP(P881,CurrencyCodes,UnitsPerUSD))"),1.0)</f>
        <v>1</v>
      </c>
      <c r="R881" s="17">
        <f t="shared" si="3"/>
        <v>645000</v>
      </c>
    </row>
    <row r="882">
      <c r="A882" s="7">
        <v>43917.27523946759</v>
      </c>
      <c r="B882" s="18" t="s">
        <v>18</v>
      </c>
      <c r="C882" s="9"/>
      <c r="D882" s="8"/>
      <c r="E882" s="18" t="s">
        <v>868</v>
      </c>
      <c r="F882" s="8" t="s">
        <v>3008</v>
      </c>
      <c r="G882" s="19"/>
      <c r="H882" s="21" t="s">
        <v>1173</v>
      </c>
      <c r="I882" s="21" t="s">
        <v>24</v>
      </c>
      <c r="J882" s="11">
        <v>0.0</v>
      </c>
      <c r="K882" s="21" t="s">
        <v>25</v>
      </c>
      <c r="L882" s="25">
        <v>43527.0</v>
      </c>
      <c r="M882" s="10"/>
      <c r="N882" s="27" t="s">
        <v>3020</v>
      </c>
      <c r="O882" s="15">
        <f t="shared" si="1"/>
        <v>2019</v>
      </c>
      <c r="P882" s="16" t="str">
        <f t="shared" si="2"/>
        <v>USD</v>
      </c>
      <c r="Q882" s="15">
        <f>IFERROR(__xludf.DUMMYFUNCTION("IFNA(INDEX(GOOGLEFINANCE(""Currency:USD""&amp;$P882,""price"",DATE(YEAR($L882),MONTH($L882),DAY($L882))),2,2),LOOKUP(P882,CurrencyCodes,UnitsPerUSD))"),1.0)</f>
        <v>1</v>
      </c>
      <c r="R882" s="17">
        <f t="shared" si="3"/>
        <v>0</v>
      </c>
    </row>
    <row r="883">
      <c r="A883" s="7">
        <v>43974.4569193287</v>
      </c>
      <c r="B883" s="8" t="s">
        <v>18</v>
      </c>
      <c r="C883" s="9">
        <v>4305.0</v>
      </c>
      <c r="D883" s="8" t="s">
        <v>3021</v>
      </c>
      <c r="E883" s="8" t="s">
        <v>3022</v>
      </c>
      <c r="F883" s="8" t="s">
        <v>3008</v>
      </c>
      <c r="G883" s="9">
        <v>23223.0</v>
      </c>
      <c r="H883" s="10" t="s">
        <v>1173</v>
      </c>
      <c r="I883" s="10" t="s">
        <v>24</v>
      </c>
      <c r="J883" s="11">
        <v>650000.0</v>
      </c>
      <c r="K883" s="10" t="s">
        <v>25</v>
      </c>
      <c r="L883" s="25">
        <v>43946.0</v>
      </c>
      <c r="M883" s="14" t="s">
        <v>3023</v>
      </c>
      <c r="N883" s="10"/>
      <c r="O883" s="15">
        <f t="shared" si="1"/>
        <v>2020</v>
      </c>
      <c r="P883" s="16" t="str">
        <f t="shared" si="2"/>
        <v>USD</v>
      </c>
      <c r="Q883" s="15">
        <f>IFERROR(__xludf.DUMMYFUNCTION("IFNA(INDEX(GOOGLEFINANCE(""Currency:USD""&amp;$P883,""price"",DATE(YEAR($L883),MONTH($L883),DAY($L883))),2,2),LOOKUP(P883,CurrencyCodes,UnitsPerUSD))"),1.0)</f>
        <v>1</v>
      </c>
      <c r="R883" s="17">
        <f t="shared" si="3"/>
        <v>650000</v>
      </c>
    </row>
    <row r="884">
      <c r="A884" s="7">
        <v>43918.37959456019</v>
      </c>
      <c r="B884" s="8" t="s">
        <v>18</v>
      </c>
      <c r="C884" s="9">
        <v>823.0</v>
      </c>
      <c r="D884" s="8" t="s">
        <v>3024</v>
      </c>
      <c r="E884" s="8" t="s">
        <v>3025</v>
      </c>
      <c r="F884" s="8" t="s">
        <v>3008</v>
      </c>
      <c r="G884" s="9">
        <v>24012.0</v>
      </c>
      <c r="H884" s="10" t="s">
        <v>1173</v>
      </c>
      <c r="I884" s="10" t="s">
        <v>39</v>
      </c>
      <c r="J884" s="11">
        <v>265000.0</v>
      </c>
      <c r="K884" s="10" t="s">
        <v>25</v>
      </c>
      <c r="L884" s="25">
        <v>42172.0</v>
      </c>
      <c r="M884" s="28" t="s">
        <v>3026</v>
      </c>
      <c r="N884" s="10" t="s">
        <v>3027</v>
      </c>
      <c r="O884" s="15">
        <f t="shared" si="1"/>
        <v>2015</v>
      </c>
      <c r="P884" s="16" t="str">
        <f t="shared" si="2"/>
        <v>USD</v>
      </c>
      <c r="Q884" s="15">
        <f>IFERROR(__xludf.DUMMYFUNCTION("IFNA(INDEX(GOOGLEFINANCE(""Currency:USD""&amp;$P884,""price"",DATE(YEAR($L884),MONTH($L884),DAY($L884))),2,2),LOOKUP(P884,CurrencyCodes,UnitsPerUSD))"),1.0)</f>
        <v>1</v>
      </c>
      <c r="R884" s="17">
        <f t="shared" si="3"/>
        <v>265000</v>
      </c>
    </row>
    <row r="885">
      <c r="A885" s="7">
        <v>44003.29261443287</v>
      </c>
      <c r="B885" s="18" t="s">
        <v>18</v>
      </c>
      <c r="C885" s="19">
        <v>44211.0</v>
      </c>
      <c r="D885" s="18" t="s">
        <v>3028</v>
      </c>
      <c r="E885" s="18" t="s">
        <v>3029</v>
      </c>
      <c r="F885" s="18" t="s">
        <v>156</v>
      </c>
      <c r="G885" s="9">
        <v>98223.0</v>
      </c>
      <c r="H885" s="21" t="s">
        <v>1173</v>
      </c>
      <c r="I885" s="21" t="s">
        <v>39</v>
      </c>
      <c r="J885" s="11">
        <v>115000.0</v>
      </c>
      <c r="K885" s="21" t="s">
        <v>25</v>
      </c>
      <c r="L885" s="25">
        <v>41257.0</v>
      </c>
      <c r="M885" s="31" t="s">
        <v>3030</v>
      </c>
      <c r="N885" s="10"/>
      <c r="O885" s="15">
        <f t="shared" si="1"/>
        <v>2012</v>
      </c>
      <c r="P885" s="16" t="str">
        <f t="shared" si="2"/>
        <v>USD</v>
      </c>
      <c r="Q885" s="15">
        <f>IFERROR(__xludf.DUMMYFUNCTION("IFNA(INDEX(GOOGLEFINANCE(""Currency:USD""&amp;$P885,""price"",DATE(YEAR($L885),MONTH($L885),DAY($L885))),2,2),LOOKUP(P885,CurrencyCodes,UnitsPerUSD))"),1.0)</f>
        <v>1</v>
      </c>
      <c r="R885" s="17">
        <f t="shared" si="3"/>
        <v>115000</v>
      </c>
    </row>
    <row r="886">
      <c r="A886" s="7">
        <v>44007.36474643518</v>
      </c>
      <c r="B886" s="8" t="s">
        <v>18</v>
      </c>
      <c r="C886" s="9">
        <v>5862.0</v>
      </c>
      <c r="D886" s="8" t="s">
        <v>3031</v>
      </c>
      <c r="E886" s="8" t="s">
        <v>3032</v>
      </c>
      <c r="F886" s="8" t="s">
        <v>156</v>
      </c>
      <c r="G886" s="9">
        <v>98815.0</v>
      </c>
      <c r="H886" s="10" t="s">
        <v>1173</v>
      </c>
      <c r="I886" s="10" t="s">
        <v>39</v>
      </c>
      <c r="J886" s="11">
        <v>215000.0</v>
      </c>
      <c r="K886" s="10" t="s">
        <v>25</v>
      </c>
      <c r="L886" s="25">
        <v>39454.0</v>
      </c>
      <c r="M886" s="14" t="s">
        <v>3033</v>
      </c>
      <c r="N886" s="10"/>
      <c r="O886" s="15">
        <f t="shared" si="1"/>
        <v>2008</v>
      </c>
      <c r="P886" s="16" t="str">
        <f t="shared" si="2"/>
        <v>USD</v>
      </c>
      <c r="Q886" s="15">
        <f>IFERROR(__xludf.DUMMYFUNCTION("IFNA(INDEX(GOOGLEFINANCE(""Currency:USD""&amp;$P886,""price"",DATE(YEAR($L886),MONTH($L886),DAY($L886))),2,2),LOOKUP(P886,CurrencyCodes,UnitsPerUSD))"),1.0)</f>
        <v>1</v>
      </c>
      <c r="R886" s="17">
        <f t="shared" si="3"/>
        <v>215000</v>
      </c>
    </row>
    <row r="887">
      <c r="A887" s="7">
        <v>43897.592722245376</v>
      </c>
      <c r="B887" s="18" t="s">
        <v>18</v>
      </c>
      <c r="C887" s="9">
        <v>3626.0</v>
      </c>
      <c r="D887" s="8" t="s">
        <v>3034</v>
      </c>
      <c r="E887" s="18" t="s">
        <v>3035</v>
      </c>
      <c r="F887" s="8" t="s">
        <v>156</v>
      </c>
      <c r="G887" s="9"/>
      <c r="H887" s="21" t="s">
        <v>1173</v>
      </c>
      <c r="I887" s="21" t="s">
        <v>39</v>
      </c>
      <c r="J887" s="11">
        <v>355000.0</v>
      </c>
      <c r="K887" s="27" t="s">
        <v>25</v>
      </c>
      <c r="L887" s="22"/>
      <c r="M887" s="10"/>
      <c r="N887" s="21"/>
      <c r="O887" s="15" t="str">
        <f t="shared" si="1"/>
        <v>Unknown</v>
      </c>
      <c r="P887" s="16" t="str">
        <f t="shared" si="2"/>
        <v>USD</v>
      </c>
      <c r="Q887" s="15">
        <f>IFERROR(__xludf.DUMMYFUNCTION("IFNA(INDEX(GOOGLEFINANCE(""Currency:USD""&amp;$P887,""price"",DATE(YEAR($L887),MONTH($L887),DAY($L887))),2,2),LOOKUP(P887,CurrencyCodes,UnitsPerUSD))"),1.0)</f>
        <v>1</v>
      </c>
      <c r="R887" s="17">
        <f t="shared" si="3"/>
        <v>355000</v>
      </c>
    </row>
    <row r="888">
      <c r="A888" s="7">
        <v>44003.28046122685</v>
      </c>
      <c r="B888" s="18" t="s">
        <v>18</v>
      </c>
      <c r="C888" s="9">
        <v>144.0</v>
      </c>
      <c r="D888" s="8" t="s">
        <v>3036</v>
      </c>
      <c r="E888" s="18" t="s">
        <v>3037</v>
      </c>
      <c r="F888" s="8" t="s">
        <v>156</v>
      </c>
      <c r="G888" s="9">
        <v>98532.0</v>
      </c>
      <c r="H888" s="21" t="s">
        <v>1173</v>
      </c>
      <c r="I888" s="21" t="s">
        <v>39</v>
      </c>
      <c r="J888" s="11">
        <v>305000.0</v>
      </c>
      <c r="K888" s="21" t="s">
        <v>25</v>
      </c>
      <c r="L888" s="25">
        <v>38967.0</v>
      </c>
      <c r="M888" s="14" t="s">
        <v>3038</v>
      </c>
      <c r="N888" s="21"/>
      <c r="O888" s="15">
        <f t="shared" si="1"/>
        <v>2006</v>
      </c>
      <c r="P888" s="16" t="str">
        <f t="shared" si="2"/>
        <v>USD</v>
      </c>
      <c r="Q888" s="15">
        <f>IFERROR(__xludf.DUMMYFUNCTION("IFNA(INDEX(GOOGLEFINANCE(""Currency:USD""&amp;$P888,""price"",DATE(YEAR($L888),MONTH($L888),DAY($L888))),2,2),LOOKUP(P888,CurrencyCodes,UnitsPerUSD))"),1.0)</f>
        <v>1</v>
      </c>
      <c r="R888" s="17">
        <f t="shared" si="3"/>
        <v>305000</v>
      </c>
    </row>
    <row r="889">
      <c r="A889" s="7">
        <v>43975.44763934027</v>
      </c>
      <c r="B889" s="18" t="s">
        <v>18</v>
      </c>
      <c r="C889" s="19">
        <v>331.0</v>
      </c>
      <c r="D889" s="18" t="s">
        <v>3039</v>
      </c>
      <c r="E889" s="18" t="s">
        <v>3040</v>
      </c>
      <c r="F889" s="18" t="s">
        <v>156</v>
      </c>
      <c r="G889" s="19">
        <v>98239.0</v>
      </c>
      <c r="H889" s="21" t="s">
        <v>1173</v>
      </c>
      <c r="I889" s="21" t="s">
        <v>24</v>
      </c>
      <c r="J889" s="11">
        <v>469000.0</v>
      </c>
      <c r="K889" s="21" t="s">
        <v>25</v>
      </c>
      <c r="L889" s="25">
        <v>43964.0</v>
      </c>
      <c r="M889" s="24" t="s">
        <v>3041</v>
      </c>
      <c r="N889" s="12" t="s">
        <v>3042</v>
      </c>
      <c r="O889" s="15">
        <f t="shared" si="1"/>
        <v>2020</v>
      </c>
      <c r="P889" s="16" t="str">
        <f t="shared" si="2"/>
        <v>USD</v>
      </c>
      <c r="Q889" s="15">
        <f>IFERROR(__xludf.DUMMYFUNCTION("IFNA(INDEX(GOOGLEFINANCE(""Currency:USD""&amp;$P889,""price"",DATE(YEAR($L889),MONTH($L889),DAY($L889))),2,2),LOOKUP(P889,CurrencyCodes,UnitsPerUSD))"),1.0)</f>
        <v>1</v>
      </c>
      <c r="R889" s="17">
        <f t="shared" si="3"/>
        <v>469000</v>
      </c>
    </row>
    <row r="890">
      <c r="A890" s="7">
        <v>43975.450053692126</v>
      </c>
      <c r="B890" s="18" t="s">
        <v>18</v>
      </c>
      <c r="C890" s="19">
        <v>7053.0</v>
      </c>
      <c r="D890" s="18" t="s">
        <v>3043</v>
      </c>
      <c r="E890" s="18" t="s">
        <v>3044</v>
      </c>
      <c r="F890" s="18" t="s">
        <v>156</v>
      </c>
      <c r="G890" s="9">
        <v>98248.0</v>
      </c>
      <c r="H890" s="21" t="s">
        <v>1173</v>
      </c>
      <c r="I890" s="21" t="s">
        <v>24</v>
      </c>
      <c r="J890" s="11">
        <v>649000.0</v>
      </c>
      <c r="K890" s="21" t="s">
        <v>25</v>
      </c>
      <c r="L890" s="25">
        <v>43847.0</v>
      </c>
      <c r="M890" s="24" t="s">
        <v>3045</v>
      </c>
      <c r="N890" s="27" t="s">
        <v>3046</v>
      </c>
      <c r="O890" s="15">
        <f t="shared" si="1"/>
        <v>2020</v>
      </c>
      <c r="P890" s="16" t="str">
        <f t="shared" si="2"/>
        <v>USD</v>
      </c>
      <c r="Q890" s="15">
        <f>IFERROR(__xludf.DUMMYFUNCTION("IFNA(INDEX(GOOGLEFINANCE(""Currency:USD""&amp;$P890,""price"",DATE(YEAR($L890),MONTH($L890),DAY($L890))),2,2),LOOKUP(P890,CurrencyCodes,UnitsPerUSD))"),1.0)</f>
        <v>1</v>
      </c>
      <c r="R890" s="17">
        <f t="shared" si="3"/>
        <v>649000</v>
      </c>
    </row>
    <row r="891">
      <c r="A891" s="7">
        <v>44003.29860248843</v>
      </c>
      <c r="B891" s="18" t="s">
        <v>18</v>
      </c>
      <c r="C891" s="9">
        <v>821.0</v>
      </c>
      <c r="D891" s="18" t="s">
        <v>3047</v>
      </c>
      <c r="E891" s="18" t="s">
        <v>3048</v>
      </c>
      <c r="F891" s="8" t="s">
        <v>156</v>
      </c>
      <c r="G891" s="9">
        <v>98632.0</v>
      </c>
      <c r="H891" s="21" t="s">
        <v>1173</v>
      </c>
      <c r="I891" s="21" t="s">
        <v>39</v>
      </c>
      <c r="J891" s="11">
        <v>230000.0</v>
      </c>
      <c r="K891" s="21" t="s">
        <v>25</v>
      </c>
      <c r="L891" s="25">
        <v>43523.0</v>
      </c>
      <c r="M891" s="14" t="s">
        <v>3049</v>
      </c>
      <c r="N891" s="21"/>
      <c r="O891" s="15">
        <f t="shared" si="1"/>
        <v>2019</v>
      </c>
      <c r="P891" s="16" t="str">
        <f t="shared" si="2"/>
        <v>USD</v>
      </c>
      <c r="Q891" s="15">
        <f>IFERROR(__xludf.DUMMYFUNCTION("IFNA(INDEX(GOOGLEFINANCE(""Currency:USD""&amp;$P891,""price"",DATE(YEAR($L891),MONTH($L891),DAY($L891))),2,2),LOOKUP(P891,CurrencyCodes,UnitsPerUSD))"),1.0)</f>
        <v>1</v>
      </c>
      <c r="R891" s="17">
        <f t="shared" si="3"/>
        <v>230000</v>
      </c>
    </row>
    <row r="892">
      <c r="A892" s="7">
        <v>44003.31520820602</v>
      </c>
      <c r="B892" s="18" t="s">
        <v>18</v>
      </c>
      <c r="C892" s="9">
        <v>1112.0</v>
      </c>
      <c r="D892" s="8" t="s">
        <v>3050</v>
      </c>
      <c r="E892" s="18" t="s">
        <v>3051</v>
      </c>
      <c r="F892" s="8" t="s">
        <v>156</v>
      </c>
      <c r="G892" s="19">
        <v>98368.0</v>
      </c>
      <c r="H892" s="21" t="s">
        <v>1173</v>
      </c>
      <c r="I892" s="21" t="s">
        <v>39</v>
      </c>
      <c r="J892" s="11">
        <v>295000.0</v>
      </c>
      <c r="K892" s="21" t="s">
        <v>25</v>
      </c>
      <c r="L892" s="25">
        <v>39447.0</v>
      </c>
      <c r="M892" s="28" t="s">
        <v>3052</v>
      </c>
      <c r="N892" s="21" t="s">
        <v>3053</v>
      </c>
      <c r="O892" s="15">
        <f t="shared" si="1"/>
        <v>2007</v>
      </c>
      <c r="P892" s="16" t="str">
        <f t="shared" si="2"/>
        <v>USD</v>
      </c>
      <c r="Q892" s="15">
        <f>IFERROR(__xludf.DUMMYFUNCTION("IFNA(INDEX(GOOGLEFINANCE(""Currency:USD""&amp;$P892,""price"",DATE(YEAR($L892),MONTH($L892),DAY($L892))),2,2),LOOKUP(P892,CurrencyCodes,UnitsPerUSD))"),1.0)</f>
        <v>1</v>
      </c>
      <c r="R892" s="17">
        <f t="shared" si="3"/>
        <v>295000</v>
      </c>
    </row>
    <row r="893">
      <c r="A893" s="7">
        <v>44003.32025048611</v>
      </c>
      <c r="B893" s="8" t="s">
        <v>18</v>
      </c>
      <c r="C893" s="9">
        <v>1339.0</v>
      </c>
      <c r="D893" s="8" t="s">
        <v>3054</v>
      </c>
      <c r="E893" s="8" t="s">
        <v>3055</v>
      </c>
      <c r="F893" s="8" t="s">
        <v>156</v>
      </c>
      <c r="G893" s="9">
        <v>99166.0</v>
      </c>
      <c r="H893" s="10" t="s">
        <v>1173</v>
      </c>
      <c r="I893" s="10" t="s">
        <v>39</v>
      </c>
      <c r="J893" s="11">
        <v>105000.0</v>
      </c>
      <c r="K893" s="10" t="s">
        <v>25</v>
      </c>
      <c r="L893" s="25">
        <v>39645.0</v>
      </c>
      <c r="M893" s="28" t="s">
        <v>3056</v>
      </c>
      <c r="N893" s="12" t="s">
        <v>3057</v>
      </c>
      <c r="O893" s="15">
        <f t="shared" si="1"/>
        <v>2008</v>
      </c>
      <c r="P893" s="16" t="str">
        <f t="shared" si="2"/>
        <v>USD</v>
      </c>
      <c r="Q893" s="15">
        <f>IFERROR(__xludf.DUMMYFUNCTION("IFNA(INDEX(GOOGLEFINANCE(""Currency:USD""&amp;$P893,""price"",DATE(YEAR($L893),MONTH($L893),DAY($L893))),2,2),LOOKUP(P893,CurrencyCodes,UnitsPerUSD))"),1.0)</f>
        <v>1</v>
      </c>
      <c r="R893" s="17">
        <f t="shared" si="3"/>
        <v>105000</v>
      </c>
    </row>
    <row r="894">
      <c r="A894" s="7">
        <v>43918.535847534724</v>
      </c>
      <c r="B894" s="8" t="s">
        <v>18</v>
      </c>
      <c r="C894" s="9">
        <v>2214.0</v>
      </c>
      <c r="D894" s="8" t="s">
        <v>3058</v>
      </c>
      <c r="E894" s="8" t="s">
        <v>3059</v>
      </c>
      <c r="F894" s="8" t="s">
        <v>156</v>
      </c>
      <c r="G894" s="9">
        <v>98103.0</v>
      </c>
      <c r="H894" s="10" t="s">
        <v>1173</v>
      </c>
      <c r="I894" s="10" t="s">
        <v>39</v>
      </c>
      <c r="J894" s="11">
        <v>1450000.0</v>
      </c>
      <c r="K894" s="10" t="s">
        <v>25</v>
      </c>
      <c r="L894" s="25">
        <v>43891.0</v>
      </c>
      <c r="M894" s="14" t="s">
        <v>3060</v>
      </c>
      <c r="N894" s="10"/>
      <c r="O894" s="15">
        <f t="shared" si="1"/>
        <v>2020</v>
      </c>
      <c r="P894" s="16" t="str">
        <f t="shared" si="2"/>
        <v>USD</v>
      </c>
      <c r="Q894" s="15">
        <f>IFERROR(__xludf.DUMMYFUNCTION("IFNA(INDEX(GOOGLEFINANCE(""Currency:USD""&amp;$P894,""price"",DATE(YEAR($L894),MONTH($L894),DAY($L894))),2,2),LOOKUP(P894,CurrencyCodes,UnitsPerUSD))"),1.0)</f>
        <v>1</v>
      </c>
      <c r="R894" s="17">
        <f t="shared" si="3"/>
        <v>1450000</v>
      </c>
    </row>
    <row r="895">
      <c r="A895" s="7">
        <v>44003.324155625</v>
      </c>
      <c r="B895" s="18" t="s">
        <v>18</v>
      </c>
      <c r="C895" s="9">
        <v>228.0</v>
      </c>
      <c r="D895" s="18" t="s">
        <v>3061</v>
      </c>
      <c r="E895" s="18" t="s">
        <v>3059</v>
      </c>
      <c r="F895" s="18" t="s">
        <v>156</v>
      </c>
      <c r="G895" s="9">
        <v>98168.0</v>
      </c>
      <c r="H895" s="21" t="s">
        <v>1173</v>
      </c>
      <c r="I895" s="21" t="s">
        <v>39</v>
      </c>
      <c r="J895" s="11">
        <v>400000.0</v>
      </c>
      <c r="K895" s="21" t="s">
        <v>25</v>
      </c>
      <c r="L895" s="25">
        <v>38763.0</v>
      </c>
      <c r="M895" s="24" t="s">
        <v>3062</v>
      </c>
      <c r="N895" s="12" t="s">
        <v>3063</v>
      </c>
      <c r="O895" s="15">
        <f t="shared" si="1"/>
        <v>2006</v>
      </c>
      <c r="P895" s="16" t="str">
        <f t="shared" si="2"/>
        <v>USD</v>
      </c>
      <c r="Q895" s="15">
        <f>IFERROR(__xludf.DUMMYFUNCTION("IFNA(INDEX(GOOGLEFINANCE(""Currency:USD""&amp;$P895,""price"",DATE(YEAR($L895),MONTH($L895),DAY($L895))),2,2),LOOKUP(P895,CurrencyCodes,UnitsPerUSD))"),1.0)</f>
        <v>1</v>
      </c>
      <c r="R895" s="17">
        <f t="shared" si="3"/>
        <v>400000</v>
      </c>
    </row>
    <row r="896">
      <c r="A896" s="7">
        <v>43918.956276365745</v>
      </c>
      <c r="B896" s="18" t="s">
        <v>18</v>
      </c>
      <c r="C896" s="19">
        <v>4409.0</v>
      </c>
      <c r="D896" s="18" t="s">
        <v>3064</v>
      </c>
      <c r="E896" s="18" t="s">
        <v>3059</v>
      </c>
      <c r="F896" s="18" t="s">
        <v>156</v>
      </c>
      <c r="G896" s="19">
        <v>98116.0</v>
      </c>
      <c r="H896" s="21" t="s">
        <v>1173</v>
      </c>
      <c r="I896" s="21" t="s">
        <v>39</v>
      </c>
      <c r="J896" s="11">
        <v>0.0</v>
      </c>
      <c r="K896" s="27" t="s">
        <v>25</v>
      </c>
      <c r="L896" s="22"/>
      <c r="M896" s="24" t="s">
        <v>3065</v>
      </c>
      <c r="N896" s="12" t="s">
        <v>3066</v>
      </c>
      <c r="O896" s="15" t="str">
        <f t="shared" si="1"/>
        <v>Unknown</v>
      </c>
      <c r="P896" s="16" t="str">
        <f t="shared" si="2"/>
        <v>USD</v>
      </c>
      <c r="Q896" s="15">
        <f>IFERROR(__xludf.DUMMYFUNCTION("IFNA(INDEX(GOOGLEFINANCE(""Currency:USD""&amp;$P896,""price"",DATE(YEAR($L896),MONTH($L896),DAY($L896))),2,2),LOOKUP(P896,CurrencyCodes,UnitsPerUSD))"),1.0)</f>
        <v>1</v>
      </c>
      <c r="R896" s="17">
        <f t="shared" si="3"/>
        <v>0</v>
      </c>
    </row>
    <row r="897">
      <c r="A897" s="7">
        <v>44008.03206434028</v>
      </c>
      <c r="B897" s="8" t="s">
        <v>18</v>
      </c>
      <c r="C897" s="9">
        <v>21.0</v>
      </c>
      <c r="D897" s="8" t="s">
        <v>3067</v>
      </c>
      <c r="E897" s="8" t="s">
        <v>3068</v>
      </c>
      <c r="F897" s="8" t="s">
        <v>156</v>
      </c>
      <c r="G897" s="9">
        <v>98942.0</v>
      </c>
      <c r="H897" s="10" t="s">
        <v>1173</v>
      </c>
      <c r="I897" s="10" t="s">
        <v>39</v>
      </c>
      <c r="J897" s="11">
        <v>85000.0</v>
      </c>
      <c r="K897" s="10" t="s">
        <v>25</v>
      </c>
      <c r="L897" s="25">
        <v>40416.0</v>
      </c>
      <c r="M897" s="14" t="s">
        <v>3069</v>
      </c>
      <c r="N897" s="10"/>
      <c r="O897" s="15">
        <f t="shared" si="1"/>
        <v>2010</v>
      </c>
      <c r="P897" s="16" t="str">
        <f t="shared" si="2"/>
        <v>USD</v>
      </c>
      <c r="Q897" s="15">
        <f>IFERROR(__xludf.DUMMYFUNCTION("IFNA(INDEX(GOOGLEFINANCE(""Currency:USD""&amp;$P897,""price"",DATE(YEAR($L897),MONTH($L897),DAY($L897))),2,2),LOOKUP(P897,CurrencyCodes,UnitsPerUSD))"),1.0)</f>
        <v>1</v>
      </c>
      <c r="R897" s="17">
        <f t="shared" si="3"/>
        <v>85000</v>
      </c>
    </row>
    <row r="898">
      <c r="A898" s="7">
        <v>44003.332490057874</v>
      </c>
      <c r="B898" s="18" t="s">
        <v>18</v>
      </c>
      <c r="C898" s="19">
        <v>11912.0</v>
      </c>
      <c r="D898" s="18" t="s">
        <v>3070</v>
      </c>
      <c r="E898" s="18" t="s">
        <v>3071</v>
      </c>
      <c r="F898" s="8" t="s">
        <v>156</v>
      </c>
      <c r="G898" s="19">
        <v>99206.0</v>
      </c>
      <c r="H898" s="21" t="s">
        <v>1173</v>
      </c>
      <c r="I898" s="21" t="s">
        <v>39</v>
      </c>
      <c r="J898" s="11">
        <v>0.0</v>
      </c>
      <c r="K898" s="27" t="s">
        <v>25</v>
      </c>
      <c r="L898" s="22"/>
      <c r="M898" s="28" t="s">
        <v>3072</v>
      </c>
      <c r="N898" s="12" t="s">
        <v>3073</v>
      </c>
      <c r="O898" s="15" t="str">
        <f t="shared" si="1"/>
        <v>Unknown</v>
      </c>
      <c r="P898" s="16" t="str">
        <f t="shared" si="2"/>
        <v>USD</v>
      </c>
      <c r="Q898" s="15">
        <f>IFERROR(__xludf.DUMMYFUNCTION("IFNA(INDEX(GOOGLEFINANCE(""Currency:USD""&amp;$P898,""price"",DATE(YEAR($L898),MONTH($L898),DAY($L898))),2,2),LOOKUP(P898,CurrencyCodes,UnitsPerUSD))"),1.0)</f>
        <v>1</v>
      </c>
      <c r="R898" s="17">
        <f t="shared" si="3"/>
        <v>0</v>
      </c>
    </row>
    <row r="899">
      <c r="A899" s="7">
        <v>44003.328472106485</v>
      </c>
      <c r="B899" s="18" t="s">
        <v>18</v>
      </c>
      <c r="C899" s="19">
        <v>4249.0</v>
      </c>
      <c r="D899" s="18" t="s">
        <v>3074</v>
      </c>
      <c r="E899" s="18" t="s">
        <v>3071</v>
      </c>
      <c r="F899" s="18" t="s">
        <v>156</v>
      </c>
      <c r="G899" s="19">
        <v>99202.0</v>
      </c>
      <c r="H899" s="21" t="s">
        <v>1173</v>
      </c>
      <c r="I899" s="21" t="s">
        <v>39</v>
      </c>
      <c r="J899" s="11">
        <v>0.0</v>
      </c>
      <c r="K899" s="27" t="s">
        <v>25</v>
      </c>
      <c r="L899" s="22"/>
      <c r="M899" s="24" t="s">
        <v>3075</v>
      </c>
      <c r="N899" s="27" t="s">
        <v>3076</v>
      </c>
      <c r="O899" s="15" t="str">
        <f t="shared" si="1"/>
        <v>Unknown</v>
      </c>
      <c r="P899" s="16" t="str">
        <f t="shared" si="2"/>
        <v>USD</v>
      </c>
      <c r="Q899" s="15">
        <f>IFERROR(__xludf.DUMMYFUNCTION("IFNA(INDEX(GOOGLEFINANCE(""Currency:USD""&amp;$P899,""price"",DATE(YEAR($L899),MONTH($L899),DAY($L899))),2,2),LOOKUP(P899,CurrencyCodes,UnitsPerUSD))"),1.0)</f>
        <v>1</v>
      </c>
      <c r="R899" s="17">
        <f t="shared" si="3"/>
        <v>0</v>
      </c>
    </row>
    <row r="900">
      <c r="A900" s="7">
        <v>44006.19911431713</v>
      </c>
      <c r="B900" s="8" t="s">
        <v>18</v>
      </c>
      <c r="C900" s="9">
        <v>9622.0</v>
      </c>
      <c r="D900" s="8" t="s">
        <v>3077</v>
      </c>
      <c r="E900" s="8" t="s">
        <v>3078</v>
      </c>
      <c r="F900" s="8" t="s">
        <v>156</v>
      </c>
      <c r="G900" s="9">
        <v>99218.0</v>
      </c>
      <c r="H900" s="10" t="s">
        <v>1173</v>
      </c>
      <c r="I900" s="10" t="s">
        <v>39</v>
      </c>
      <c r="J900" s="11">
        <v>225000.0</v>
      </c>
      <c r="K900" s="10" t="s">
        <v>25</v>
      </c>
      <c r="L900" s="25">
        <v>43840.0</v>
      </c>
      <c r="M900" s="14" t="s">
        <v>3079</v>
      </c>
      <c r="N900" s="10"/>
      <c r="O900" s="15">
        <f t="shared" si="1"/>
        <v>2020</v>
      </c>
      <c r="P900" s="16" t="str">
        <f t="shared" si="2"/>
        <v>USD</v>
      </c>
      <c r="Q900" s="15">
        <f>IFERROR(__xludf.DUMMYFUNCTION("IFNA(INDEX(GOOGLEFINANCE(""Currency:USD""&amp;$P900,""price"",DATE(YEAR($L900),MONTH($L900),DAY($L900))),2,2),LOOKUP(P900,CurrencyCodes,UnitsPerUSD))"),1.0)</f>
        <v>1</v>
      </c>
      <c r="R900" s="17">
        <f t="shared" si="3"/>
        <v>225000</v>
      </c>
    </row>
    <row r="901">
      <c r="A901" s="7">
        <v>44006.20508903935</v>
      </c>
      <c r="B901" s="8" t="s">
        <v>18</v>
      </c>
      <c r="C901" s="9">
        <v>15704.0</v>
      </c>
      <c r="D901" s="8" t="s">
        <v>3080</v>
      </c>
      <c r="E901" s="8" t="s">
        <v>3081</v>
      </c>
      <c r="F901" s="8" t="s">
        <v>156</v>
      </c>
      <c r="G901" s="9">
        <v>99037.0</v>
      </c>
      <c r="H901" s="10" t="s">
        <v>1173</v>
      </c>
      <c r="I901" s="10" t="s">
        <v>39</v>
      </c>
      <c r="J901" s="11">
        <v>545000.0</v>
      </c>
      <c r="K901" s="10" t="s">
        <v>25</v>
      </c>
      <c r="L901" s="25">
        <v>43355.0</v>
      </c>
      <c r="M901" s="28" t="s">
        <v>3082</v>
      </c>
      <c r="N901" s="12" t="s">
        <v>3083</v>
      </c>
      <c r="O901" s="15">
        <f t="shared" si="1"/>
        <v>2018</v>
      </c>
      <c r="P901" s="16" t="str">
        <f t="shared" si="2"/>
        <v>USD</v>
      </c>
      <c r="Q901" s="15">
        <f>IFERROR(__xludf.DUMMYFUNCTION("IFNA(INDEX(GOOGLEFINANCE(""Currency:USD""&amp;$P901,""price"",DATE(YEAR($L901),MONTH($L901),DAY($L901))),2,2),LOOKUP(P901,CurrencyCodes,UnitsPerUSD))"),1.0)</f>
        <v>1</v>
      </c>
      <c r="R901" s="17">
        <f t="shared" si="3"/>
        <v>545000</v>
      </c>
    </row>
    <row r="902">
      <c r="A902" s="7">
        <v>44006.24795700231</v>
      </c>
      <c r="B902" s="18" t="s">
        <v>18</v>
      </c>
      <c r="C902" s="19">
        <v>345.0</v>
      </c>
      <c r="D902" s="18" t="s">
        <v>3084</v>
      </c>
      <c r="E902" s="18" t="s">
        <v>3085</v>
      </c>
      <c r="F902" s="18" t="s">
        <v>156</v>
      </c>
      <c r="G902" s="9">
        <v>98944.0</v>
      </c>
      <c r="H902" s="21" t="s">
        <v>1173</v>
      </c>
      <c r="I902" s="21" t="s">
        <v>39</v>
      </c>
      <c r="J902" s="11">
        <v>85000.0</v>
      </c>
      <c r="K902" s="21" t="s">
        <v>25</v>
      </c>
      <c r="L902" s="25">
        <v>42115.0</v>
      </c>
      <c r="M902" s="24" t="s">
        <v>3086</v>
      </c>
      <c r="N902" s="21" t="s">
        <v>3087</v>
      </c>
      <c r="O902" s="15">
        <f t="shared" si="1"/>
        <v>2015</v>
      </c>
      <c r="P902" s="16" t="str">
        <f t="shared" si="2"/>
        <v>USD</v>
      </c>
      <c r="Q902" s="15">
        <f>IFERROR(__xludf.DUMMYFUNCTION("IFNA(INDEX(GOOGLEFINANCE(""Currency:USD""&amp;$P902,""price"",DATE(YEAR($L902),MONTH($L902),DAY($L902))),2,2),LOOKUP(P902,CurrencyCodes,UnitsPerUSD))"),1.0)</f>
        <v>1</v>
      </c>
      <c r="R902" s="17">
        <f t="shared" si="3"/>
        <v>85000</v>
      </c>
    </row>
    <row r="903">
      <c r="A903" s="7">
        <v>43931.570093229166</v>
      </c>
      <c r="B903" s="18" t="s">
        <v>18</v>
      </c>
      <c r="C903" s="19">
        <v>6722.0</v>
      </c>
      <c r="D903" s="18" t="s">
        <v>3088</v>
      </c>
      <c r="E903" s="18" t="s">
        <v>3089</v>
      </c>
      <c r="F903" s="18" t="s">
        <v>156</v>
      </c>
      <c r="G903" s="19">
        <v>98408.0</v>
      </c>
      <c r="H903" s="21" t="s">
        <v>1173</v>
      </c>
      <c r="I903" s="21" t="s">
        <v>39</v>
      </c>
      <c r="J903" s="11">
        <v>250000.0</v>
      </c>
      <c r="K903" s="21" t="s">
        <v>25</v>
      </c>
      <c r="L903" s="25">
        <v>40742.0</v>
      </c>
      <c r="M903" s="24" t="s">
        <v>3090</v>
      </c>
      <c r="N903" s="12" t="s">
        <v>3091</v>
      </c>
      <c r="O903" s="15">
        <f t="shared" si="1"/>
        <v>2011</v>
      </c>
      <c r="P903" s="16" t="str">
        <f t="shared" si="2"/>
        <v>USD</v>
      </c>
      <c r="Q903" s="15">
        <f>IFERROR(__xludf.DUMMYFUNCTION("IFNA(INDEX(GOOGLEFINANCE(""Currency:USD""&amp;$P903,""price"",DATE(YEAR($L903),MONTH($L903),DAY($L903))),2,2),LOOKUP(P903,CurrencyCodes,UnitsPerUSD))"),1.0)</f>
        <v>1</v>
      </c>
      <c r="R903" s="17">
        <f t="shared" si="3"/>
        <v>250000</v>
      </c>
    </row>
    <row r="904">
      <c r="A904" s="7">
        <v>43918.55313743056</v>
      </c>
      <c r="B904" s="18" t="s">
        <v>18</v>
      </c>
      <c r="C904" s="19">
        <v>122.0</v>
      </c>
      <c r="D904" s="18" t="s">
        <v>3092</v>
      </c>
      <c r="E904" s="18" t="s">
        <v>3093</v>
      </c>
      <c r="F904" s="18" t="s">
        <v>156</v>
      </c>
      <c r="G904" s="19">
        <v>99361.0</v>
      </c>
      <c r="H904" s="21" t="s">
        <v>1173</v>
      </c>
      <c r="I904" s="21" t="s">
        <v>24</v>
      </c>
      <c r="J904" s="11">
        <v>150000.0</v>
      </c>
      <c r="K904" s="27" t="s">
        <v>25</v>
      </c>
      <c r="L904" s="22"/>
      <c r="M904" s="24" t="s">
        <v>3094</v>
      </c>
      <c r="N904" s="12" t="s">
        <v>3095</v>
      </c>
      <c r="O904" s="15" t="str">
        <f t="shared" si="1"/>
        <v>Unknown</v>
      </c>
      <c r="P904" s="16" t="str">
        <f t="shared" si="2"/>
        <v>USD</v>
      </c>
      <c r="Q904" s="15">
        <f>IFERROR(__xludf.DUMMYFUNCTION("IFNA(INDEX(GOOGLEFINANCE(""Currency:USD""&amp;$P904,""price"",DATE(YEAR($L904),MONTH($L904),DAY($L904))),2,2),LOOKUP(P904,CurrencyCodes,UnitsPerUSD))"),1.0)</f>
        <v>1</v>
      </c>
      <c r="R904" s="17">
        <f t="shared" si="3"/>
        <v>150000</v>
      </c>
    </row>
    <row r="905">
      <c r="A905" s="7">
        <v>43918.53791402778</v>
      </c>
      <c r="B905" s="18" t="s">
        <v>18</v>
      </c>
      <c r="C905" s="19">
        <v>280.0</v>
      </c>
      <c r="D905" s="18" t="s">
        <v>3096</v>
      </c>
      <c r="E905" s="18" t="s">
        <v>3097</v>
      </c>
      <c r="F905" s="18" t="s">
        <v>156</v>
      </c>
      <c r="G905" s="19">
        <v>98951.0</v>
      </c>
      <c r="H905" s="21" t="s">
        <v>1173</v>
      </c>
      <c r="I905" s="21" t="s">
        <v>39</v>
      </c>
      <c r="J905" s="11">
        <v>198000.0</v>
      </c>
      <c r="K905" s="21" t="s">
        <v>25</v>
      </c>
      <c r="L905" s="25">
        <v>43901.0</v>
      </c>
      <c r="M905" s="24" t="s">
        <v>3098</v>
      </c>
      <c r="N905" s="27" t="s">
        <v>3099</v>
      </c>
      <c r="O905" s="15">
        <f t="shared" si="1"/>
        <v>2020</v>
      </c>
      <c r="P905" s="16" t="str">
        <f t="shared" si="2"/>
        <v>USD</v>
      </c>
      <c r="Q905" s="15">
        <f>IFERROR(__xludf.DUMMYFUNCTION("IFNA(INDEX(GOOGLEFINANCE(""Currency:USD""&amp;$P905,""price"",DATE(YEAR($L905),MONTH($L905),DAY($L905))),2,2),LOOKUP(P905,CurrencyCodes,UnitsPerUSD))"),1.0)</f>
        <v>1</v>
      </c>
      <c r="R905" s="17">
        <f t="shared" si="3"/>
        <v>198000</v>
      </c>
    </row>
    <row r="906">
      <c r="A906" s="7">
        <v>43933.896883043984</v>
      </c>
      <c r="B906" s="18" t="s">
        <v>18</v>
      </c>
      <c r="C906" s="19">
        <v>1321.0</v>
      </c>
      <c r="D906" s="18" t="s">
        <v>3100</v>
      </c>
      <c r="E906" s="18" t="s">
        <v>3101</v>
      </c>
      <c r="F906" s="8" t="s">
        <v>156</v>
      </c>
      <c r="G906" s="9">
        <v>98801.0</v>
      </c>
      <c r="H906" s="21" t="s">
        <v>1173</v>
      </c>
      <c r="I906" s="21" t="s">
        <v>39</v>
      </c>
      <c r="J906" s="11">
        <v>790000.0</v>
      </c>
      <c r="K906" s="21" t="s">
        <v>25</v>
      </c>
      <c r="L906" s="25">
        <v>43553.0</v>
      </c>
      <c r="M906" s="24" t="s">
        <v>3102</v>
      </c>
      <c r="N906" s="12" t="s">
        <v>3103</v>
      </c>
      <c r="O906" s="15">
        <f t="shared" si="1"/>
        <v>2019</v>
      </c>
      <c r="P906" s="16" t="str">
        <f t="shared" si="2"/>
        <v>USD</v>
      </c>
      <c r="Q906" s="15">
        <f>IFERROR(__xludf.DUMMYFUNCTION("IFNA(INDEX(GOOGLEFINANCE(""Currency:USD""&amp;$P906,""price"",DATE(YEAR($L906),MONTH($L906),DAY($L906))),2,2),LOOKUP(P906,CurrencyCodes,UnitsPerUSD))"),1.0)</f>
        <v>1</v>
      </c>
      <c r="R906" s="17">
        <f t="shared" si="3"/>
        <v>790000</v>
      </c>
    </row>
    <row r="907">
      <c r="A907" s="7">
        <v>44006.26654722222</v>
      </c>
      <c r="B907" s="18" t="s">
        <v>18</v>
      </c>
      <c r="C907" s="19">
        <v>2521.0</v>
      </c>
      <c r="D907" s="18" t="s">
        <v>3104</v>
      </c>
      <c r="E907" s="18" t="s">
        <v>3105</v>
      </c>
      <c r="F907" s="18" t="s">
        <v>156</v>
      </c>
      <c r="G907" s="19">
        <v>98908.0</v>
      </c>
      <c r="H907" s="21" t="s">
        <v>1173</v>
      </c>
      <c r="I907" s="21" t="s">
        <v>39</v>
      </c>
      <c r="J907" s="11">
        <v>150000.0</v>
      </c>
      <c r="K907" s="21" t="s">
        <v>25</v>
      </c>
      <c r="L907" s="25">
        <v>40967.0</v>
      </c>
      <c r="M907" s="24" t="s">
        <v>3106</v>
      </c>
      <c r="N907" s="27" t="s">
        <v>3107</v>
      </c>
      <c r="O907" s="15">
        <f t="shared" si="1"/>
        <v>2012</v>
      </c>
      <c r="P907" s="16" t="str">
        <f t="shared" si="2"/>
        <v>USD</v>
      </c>
      <c r="Q907" s="15">
        <f>IFERROR(__xludf.DUMMYFUNCTION("IFNA(INDEX(GOOGLEFINANCE(""Currency:USD""&amp;$P907,""price"",DATE(YEAR($L907),MONTH($L907),DAY($L907))),2,2),LOOKUP(P907,CurrencyCodes,UnitsPerUSD))"),1.0)</f>
        <v>1</v>
      </c>
      <c r="R907" s="17">
        <f t="shared" si="3"/>
        <v>150000</v>
      </c>
    </row>
    <row r="908">
      <c r="A908" s="7">
        <v>44006.254020532404</v>
      </c>
      <c r="B908" s="18" t="s">
        <v>18</v>
      </c>
      <c r="C908" s="19">
        <v>1614.0</v>
      </c>
      <c r="D908" s="18" t="s">
        <v>3108</v>
      </c>
      <c r="E908" s="18" t="s">
        <v>3105</v>
      </c>
      <c r="F908" s="18" t="s">
        <v>156</v>
      </c>
      <c r="G908" s="19">
        <v>98902.0</v>
      </c>
      <c r="H908" s="21" t="s">
        <v>1173</v>
      </c>
      <c r="I908" s="21" t="s">
        <v>39</v>
      </c>
      <c r="J908" s="11">
        <v>140000.0</v>
      </c>
      <c r="K908" s="21" t="s">
        <v>25</v>
      </c>
      <c r="L908" s="25">
        <v>38230.0</v>
      </c>
      <c r="M908" s="24" t="s">
        <v>3109</v>
      </c>
      <c r="N908" s="27" t="s">
        <v>3110</v>
      </c>
      <c r="O908" s="15">
        <f t="shared" si="1"/>
        <v>2004</v>
      </c>
      <c r="P908" s="16" t="str">
        <f t="shared" si="2"/>
        <v>USD</v>
      </c>
      <c r="Q908" s="15">
        <f>IFERROR(__xludf.DUMMYFUNCTION("IFNA(INDEX(GOOGLEFINANCE(""Currency:USD""&amp;$P908,""price"",DATE(YEAR($L908),MONTH($L908),DAY($L908))),2,2),LOOKUP(P908,CurrencyCodes,UnitsPerUSD))"),1.0)</f>
        <v>1</v>
      </c>
      <c r="R908" s="17">
        <f t="shared" si="3"/>
        <v>140000</v>
      </c>
    </row>
    <row r="909">
      <c r="A909" s="7">
        <v>44007.39263416667</v>
      </c>
      <c r="B909" s="8" t="s">
        <v>18</v>
      </c>
      <c r="C909" s="9">
        <v>2506.0</v>
      </c>
      <c r="D909" s="8" t="s">
        <v>3111</v>
      </c>
      <c r="E909" s="8" t="s">
        <v>3105</v>
      </c>
      <c r="F909" s="8" t="s">
        <v>156</v>
      </c>
      <c r="G909" s="9">
        <v>98902.0</v>
      </c>
      <c r="H909" s="10" t="s">
        <v>1173</v>
      </c>
      <c r="I909" s="10" t="s">
        <v>39</v>
      </c>
      <c r="J909" s="11">
        <v>235739.0</v>
      </c>
      <c r="K909" s="10" t="s">
        <v>25</v>
      </c>
      <c r="L909" s="25">
        <v>38912.0</v>
      </c>
      <c r="M909" s="14" t="s">
        <v>3112</v>
      </c>
      <c r="N909" s="10"/>
      <c r="O909" s="15">
        <f t="shared" si="1"/>
        <v>2006</v>
      </c>
      <c r="P909" s="16" t="str">
        <f t="shared" si="2"/>
        <v>USD</v>
      </c>
      <c r="Q909" s="15">
        <f>IFERROR(__xludf.DUMMYFUNCTION("IFNA(INDEX(GOOGLEFINANCE(""Currency:USD""&amp;$P909,""price"",DATE(YEAR($L909),MONTH($L909),DAY($L909))),2,2),LOOKUP(P909,CurrencyCodes,UnitsPerUSD))"),1.0)</f>
        <v>1</v>
      </c>
      <c r="R909" s="17">
        <f t="shared" si="3"/>
        <v>235739</v>
      </c>
    </row>
    <row r="910">
      <c r="A910" s="7">
        <v>44006.25995605324</v>
      </c>
      <c r="B910" s="18" t="s">
        <v>18</v>
      </c>
      <c r="C910" s="19">
        <v>112.0</v>
      </c>
      <c r="D910" s="18" t="s">
        <v>3113</v>
      </c>
      <c r="E910" s="18" t="s">
        <v>3105</v>
      </c>
      <c r="F910" s="18" t="s">
        <v>156</v>
      </c>
      <c r="G910" s="19">
        <v>98902.0</v>
      </c>
      <c r="H910" s="21" t="s">
        <v>1173</v>
      </c>
      <c r="I910" s="21" t="s">
        <v>39</v>
      </c>
      <c r="J910" s="11">
        <v>290000.0</v>
      </c>
      <c r="K910" s="21" t="s">
        <v>25</v>
      </c>
      <c r="L910" s="25">
        <v>38799.0</v>
      </c>
      <c r="M910" s="31" t="s">
        <v>3114</v>
      </c>
      <c r="N910" s="10"/>
      <c r="O910" s="15">
        <f t="shared" si="1"/>
        <v>2006</v>
      </c>
      <c r="P910" s="16" t="str">
        <f t="shared" si="2"/>
        <v>USD</v>
      </c>
      <c r="Q910" s="15">
        <f>IFERROR(__xludf.DUMMYFUNCTION("IFNA(INDEX(GOOGLEFINANCE(""Currency:USD""&amp;$P910,""price"",DATE(YEAR($L910),MONTH($L910),DAY($L910))),2,2),LOOKUP(P910,CurrencyCodes,UnitsPerUSD))"),1.0)</f>
        <v>1</v>
      </c>
      <c r="R910" s="17">
        <f t="shared" si="3"/>
        <v>290000</v>
      </c>
    </row>
    <row r="911">
      <c r="A911" s="7">
        <v>43927.17346910879</v>
      </c>
      <c r="B911" s="18" t="s">
        <v>18</v>
      </c>
      <c r="C911" s="19">
        <v>710.0</v>
      </c>
      <c r="D911" s="18" t="s">
        <v>3115</v>
      </c>
      <c r="E911" s="18" t="s">
        <v>3116</v>
      </c>
      <c r="F911" s="18" t="s">
        <v>3117</v>
      </c>
      <c r="G911" s="9">
        <v>54409.0</v>
      </c>
      <c r="H911" s="21" t="s">
        <v>1173</v>
      </c>
      <c r="I911" s="21" t="s">
        <v>39</v>
      </c>
      <c r="J911" s="11">
        <v>33000.0</v>
      </c>
      <c r="K911" s="21" t="s">
        <v>25</v>
      </c>
      <c r="L911" s="25">
        <v>42142.0</v>
      </c>
      <c r="M911" s="28" t="s">
        <v>3118</v>
      </c>
      <c r="N911" s="21" t="s">
        <v>3119</v>
      </c>
      <c r="O911" s="15">
        <f t="shared" si="1"/>
        <v>2015</v>
      </c>
      <c r="P911" s="16" t="str">
        <f t="shared" si="2"/>
        <v>USD</v>
      </c>
      <c r="Q911" s="15">
        <f>IFERROR(__xludf.DUMMYFUNCTION("IFNA(INDEX(GOOGLEFINANCE(""Currency:USD""&amp;$P911,""price"",DATE(YEAR($L911),MONTH($L911),DAY($L911))),2,2),LOOKUP(P911,CurrencyCodes,UnitsPerUSD))"),1.0)</f>
        <v>1</v>
      </c>
      <c r="R911" s="17">
        <f t="shared" si="3"/>
        <v>33000</v>
      </c>
    </row>
    <row r="912">
      <c r="A912" s="7">
        <v>43900.950926631944</v>
      </c>
      <c r="B912" s="18" t="s">
        <v>18</v>
      </c>
      <c r="C912" s="19">
        <v>4668.0</v>
      </c>
      <c r="D912" s="18" t="s">
        <v>3120</v>
      </c>
      <c r="E912" s="18" t="s">
        <v>3121</v>
      </c>
      <c r="F912" s="18" t="s">
        <v>3117</v>
      </c>
      <c r="G912" s="19">
        <v>54729.0</v>
      </c>
      <c r="H912" s="21" t="s">
        <v>1173</v>
      </c>
      <c r="I912" s="21" t="s">
        <v>39</v>
      </c>
      <c r="J912" s="11">
        <v>186000.0</v>
      </c>
      <c r="K912" s="21" t="s">
        <v>25</v>
      </c>
      <c r="L912" s="25">
        <v>43707.0</v>
      </c>
      <c r="M912" s="31" t="s">
        <v>3122</v>
      </c>
      <c r="N912" s="10"/>
      <c r="O912" s="15">
        <f t="shared" si="1"/>
        <v>2019</v>
      </c>
      <c r="P912" s="16" t="str">
        <f t="shared" si="2"/>
        <v>USD</v>
      </c>
      <c r="Q912" s="15">
        <f>IFERROR(__xludf.DUMMYFUNCTION("IFNA(INDEX(GOOGLEFINANCE(""Currency:USD""&amp;$P912,""price"",DATE(YEAR($L912),MONTH($L912),DAY($L912))),2,2),LOOKUP(P912,CurrencyCodes,UnitsPerUSD))"),1.0)</f>
        <v>1</v>
      </c>
      <c r="R912" s="17">
        <f t="shared" si="3"/>
        <v>186000</v>
      </c>
    </row>
    <row r="913">
      <c r="A913" s="7">
        <v>43927.178327870366</v>
      </c>
      <c r="B913" s="18" t="s">
        <v>18</v>
      </c>
      <c r="C913" s="19">
        <v>1416.0</v>
      </c>
      <c r="D913" s="18" t="s">
        <v>3123</v>
      </c>
      <c r="E913" s="18" t="s">
        <v>3124</v>
      </c>
      <c r="F913" s="18" t="s">
        <v>3117</v>
      </c>
      <c r="G913" s="19">
        <v>54732.0</v>
      </c>
      <c r="H913" s="21" t="s">
        <v>1173</v>
      </c>
      <c r="I913" s="21" t="s">
        <v>39</v>
      </c>
      <c r="J913" s="11">
        <v>35000.0</v>
      </c>
      <c r="K913" s="21" t="s">
        <v>25</v>
      </c>
      <c r="L913" s="25">
        <v>41760.0</v>
      </c>
      <c r="M913" s="31" t="s">
        <v>3125</v>
      </c>
      <c r="N913" s="21"/>
      <c r="O913" s="15">
        <f t="shared" si="1"/>
        <v>2014</v>
      </c>
      <c r="P913" s="16" t="str">
        <f t="shared" si="2"/>
        <v>USD</v>
      </c>
      <c r="Q913" s="15">
        <f>IFERROR(__xludf.DUMMYFUNCTION("IFNA(INDEX(GOOGLEFINANCE(""Currency:USD""&amp;$P913,""price"",DATE(YEAR($L913),MONTH($L913),DAY($L913))),2,2),LOOKUP(P913,CurrencyCodes,UnitsPerUSD))"),1.0)</f>
        <v>1</v>
      </c>
      <c r="R913" s="17">
        <f t="shared" si="3"/>
        <v>35000</v>
      </c>
    </row>
    <row r="914">
      <c r="A914" s="7">
        <v>43927.24922254629</v>
      </c>
      <c r="B914" s="18" t="s">
        <v>18</v>
      </c>
      <c r="C914" s="19">
        <v>1621.0</v>
      </c>
      <c r="D914" s="18" t="s">
        <v>3126</v>
      </c>
      <c r="E914" s="18" t="s">
        <v>3127</v>
      </c>
      <c r="F914" s="18" t="s">
        <v>3117</v>
      </c>
      <c r="G914" s="19">
        <v>54115.0</v>
      </c>
      <c r="H914" s="21" t="s">
        <v>1173</v>
      </c>
      <c r="I914" s="21" t="s">
        <v>39</v>
      </c>
      <c r="J914" s="11">
        <v>0.0</v>
      </c>
      <c r="K914" s="21" t="s">
        <v>25</v>
      </c>
      <c r="L914" s="25">
        <v>39083.0</v>
      </c>
      <c r="M914" s="24" t="s">
        <v>3128</v>
      </c>
      <c r="N914" s="10" t="s">
        <v>3129</v>
      </c>
      <c r="O914" s="15">
        <f t="shared" si="1"/>
        <v>2007</v>
      </c>
      <c r="P914" s="16" t="str">
        <f t="shared" si="2"/>
        <v>USD</v>
      </c>
      <c r="Q914" s="15">
        <f>IFERROR(__xludf.DUMMYFUNCTION("IFNA(INDEX(GOOGLEFINANCE(""Currency:USD""&amp;$P914,""price"",DATE(YEAR($L914),MONTH($L914),DAY($L914))),2,2),LOOKUP(P914,CurrencyCodes,UnitsPerUSD))"),1.0)</f>
        <v>1</v>
      </c>
      <c r="R914" s="17">
        <f t="shared" si="3"/>
        <v>0</v>
      </c>
    </row>
    <row r="915">
      <c r="A915" s="7">
        <v>43936.33956768519</v>
      </c>
      <c r="B915" s="18" t="s">
        <v>18</v>
      </c>
      <c r="C915" s="19">
        <v>2565.0</v>
      </c>
      <c r="D915" s="18" t="s">
        <v>3130</v>
      </c>
      <c r="E915" s="18" t="s">
        <v>3131</v>
      </c>
      <c r="F915" s="18" t="s">
        <v>3117</v>
      </c>
      <c r="G915" s="19">
        <v>53018.0</v>
      </c>
      <c r="H915" s="21" t="s">
        <v>1173</v>
      </c>
      <c r="I915" s="21" t="s">
        <v>39</v>
      </c>
      <c r="J915" s="11">
        <v>0.0</v>
      </c>
      <c r="K915" s="27" t="s">
        <v>25</v>
      </c>
      <c r="L915" s="22"/>
      <c r="M915" s="24" t="s">
        <v>3132</v>
      </c>
      <c r="N915" s="10" t="s">
        <v>3133</v>
      </c>
      <c r="O915" s="15" t="str">
        <f t="shared" si="1"/>
        <v>Unknown</v>
      </c>
      <c r="P915" s="16" t="str">
        <f t="shared" si="2"/>
        <v>USD</v>
      </c>
      <c r="Q915" s="15">
        <f>IFERROR(__xludf.DUMMYFUNCTION("IFNA(INDEX(GOOGLEFINANCE(""Currency:USD""&amp;$P915,""price"",DATE(YEAR($L915),MONTH($L915),DAY($L915))),2,2),LOOKUP(P915,CurrencyCodes,UnitsPerUSD))"),1.0)</f>
        <v>1</v>
      </c>
      <c r="R915" s="17">
        <f t="shared" si="3"/>
        <v>0</v>
      </c>
    </row>
    <row r="916">
      <c r="A916" s="7">
        <v>43927.25542377315</v>
      </c>
      <c r="B916" s="8" t="s">
        <v>18</v>
      </c>
      <c r="C916" s="9">
        <v>1086.0</v>
      </c>
      <c r="D916" s="8" t="s">
        <v>3134</v>
      </c>
      <c r="E916" s="8" t="s">
        <v>3135</v>
      </c>
      <c r="F916" s="8" t="s">
        <v>3117</v>
      </c>
      <c r="G916" s="9">
        <v>54427.0</v>
      </c>
      <c r="H916" s="10" t="s">
        <v>1173</v>
      </c>
      <c r="I916" s="10" t="s">
        <v>39</v>
      </c>
      <c r="J916" s="11">
        <v>65000.0</v>
      </c>
      <c r="K916" s="10" t="s">
        <v>25</v>
      </c>
      <c r="L916" s="25">
        <v>41122.0</v>
      </c>
      <c r="M916" s="14" t="s">
        <v>3136</v>
      </c>
      <c r="N916" s="10"/>
      <c r="O916" s="15">
        <f t="shared" si="1"/>
        <v>2012</v>
      </c>
      <c r="P916" s="16" t="str">
        <f t="shared" si="2"/>
        <v>USD</v>
      </c>
      <c r="Q916" s="15">
        <f>IFERROR(__xludf.DUMMYFUNCTION("IFNA(INDEX(GOOGLEFINANCE(""Currency:USD""&amp;$P916,""price"",DATE(YEAR($L916),MONTH($L916),DAY($L916))),2,2),LOOKUP(P916,CurrencyCodes,UnitsPerUSD))"),1.0)</f>
        <v>1</v>
      </c>
      <c r="R916" s="17">
        <f t="shared" si="3"/>
        <v>65000</v>
      </c>
    </row>
    <row r="917">
      <c r="A917" s="7">
        <v>43927.258235671296</v>
      </c>
      <c r="B917" s="8" t="s">
        <v>18</v>
      </c>
      <c r="C917" s="9" t="s">
        <v>3137</v>
      </c>
      <c r="D917" s="8" t="s">
        <v>3138</v>
      </c>
      <c r="E917" s="8" t="s">
        <v>3139</v>
      </c>
      <c r="F917" s="8" t="s">
        <v>3117</v>
      </c>
      <c r="G917" s="9">
        <v>53121.0</v>
      </c>
      <c r="H917" s="10" t="s">
        <v>1173</v>
      </c>
      <c r="I917" s="10" t="s">
        <v>39</v>
      </c>
      <c r="J917" s="11">
        <v>255000.0</v>
      </c>
      <c r="K917" s="10" t="s">
        <v>25</v>
      </c>
      <c r="L917" s="25">
        <v>41122.0</v>
      </c>
      <c r="M917" s="28" t="s">
        <v>3140</v>
      </c>
      <c r="N917" s="10" t="s">
        <v>1197</v>
      </c>
      <c r="O917" s="15">
        <f t="shared" si="1"/>
        <v>2012</v>
      </c>
      <c r="P917" s="16" t="str">
        <f t="shared" si="2"/>
        <v>USD</v>
      </c>
      <c r="Q917" s="15">
        <f>IFERROR(__xludf.DUMMYFUNCTION("IFNA(INDEX(GOOGLEFINANCE(""Currency:USD""&amp;$P917,""price"",DATE(YEAR($L917),MONTH($L917),DAY($L917))),2,2),LOOKUP(P917,CurrencyCodes,UnitsPerUSD))"),1.0)</f>
        <v>1</v>
      </c>
      <c r="R917" s="17">
        <f t="shared" si="3"/>
        <v>255000</v>
      </c>
    </row>
    <row r="918">
      <c r="A918" s="7">
        <v>43927.27702820602</v>
      </c>
      <c r="B918" s="18" t="s">
        <v>18</v>
      </c>
      <c r="C918" s="19">
        <v>6767.0</v>
      </c>
      <c r="D918" s="18" t="s">
        <v>3141</v>
      </c>
      <c r="E918" s="18" t="s">
        <v>3142</v>
      </c>
      <c r="F918" s="8" t="s">
        <v>3117</v>
      </c>
      <c r="G918" s="19">
        <v>53126.0</v>
      </c>
      <c r="H918" s="21" t="s">
        <v>1173</v>
      </c>
      <c r="I918" s="21" t="s">
        <v>24</v>
      </c>
      <c r="J918" s="11">
        <v>340000.0</v>
      </c>
      <c r="K918" s="27" t="s">
        <v>25</v>
      </c>
      <c r="L918" s="22"/>
      <c r="M918" s="31" t="s">
        <v>3143</v>
      </c>
      <c r="N918" s="10"/>
      <c r="O918" s="15" t="str">
        <f t="shared" si="1"/>
        <v>Unknown</v>
      </c>
      <c r="P918" s="16" t="str">
        <f t="shared" si="2"/>
        <v>USD</v>
      </c>
      <c r="Q918" s="15">
        <f>IFERROR(__xludf.DUMMYFUNCTION("IFNA(INDEX(GOOGLEFINANCE(""Currency:USD""&amp;$P918,""price"",DATE(YEAR($L918),MONTH($L918),DAY($L918))),2,2),LOOKUP(P918,CurrencyCodes,UnitsPerUSD))"),1.0)</f>
        <v>1</v>
      </c>
      <c r="R918" s="17">
        <f t="shared" si="3"/>
        <v>340000</v>
      </c>
    </row>
    <row r="919">
      <c r="A919" s="7">
        <v>43927.29226271991</v>
      </c>
      <c r="B919" s="18" t="s">
        <v>18</v>
      </c>
      <c r="C919" s="19" t="s">
        <v>3144</v>
      </c>
      <c r="D919" s="18" t="s">
        <v>3145</v>
      </c>
      <c r="E919" s="18" t="s">
        <v>3146</v>
      </c>
      <c r="F919" s="8" t="s">
        <v>3117</v>
      </c>
      <c r="G919" s="19">
        <v>54630.0</v>
      </c>
      <c r="H919" s="21" t="s">
        <v>1173</v>
      </c>
      <c r="I919" s="21" t="s">
        <v>39</v>
      </c>
      <c r="J919" s="11">
        <v>245000.0</v>
      </c>
      <c r="K919" s="21" t="s">
        <v>25</v>
      </c>
      <c r="L919" s="25">
        <v>43500.0</v>
      </c>
      <c r="M919" s="31" t="s">
        <v>3147</v>
      </c>
      <c r="N919" s="10"/>
      <c r="O919" s="15">
        <f t="shared" si="1"/>
        <v>2019</v>
      </c>
      <c r="P919" s="16" t="str">
        <f t="shared" si="2"/>
        <v>USD</v>
      </c>
      <c r="Q919" s="15">
        <f>IFERROR(__xludf.DUMMYFUNCTION("IFNA(INDEX(GOOGLEFINANCE(""Currency:USD""&amp;$P919,""price"",DATE(YEAR($L919),MONTH($L919),DAY($L919))),2,2),LOOKUP(P919,CurrencyCodes,UnitsPerUSD))"),1.0)</f>
        <v>1</v>
      </c>
      <c r="R919" s="17">
        <f t="shared" si="3"/>
        <v>245000</v>
      </c>
    </row>
    <row r="920">
      <c r="A920" s="7">
        <v>43905.44956603009</v>
      </c>
      <c r="B920" s="18" t="s">
        <v>18</v>
      </c>
      <c r="C920" s="19" t="s">
        <v>3148</v>
      </c>
      <c r="D920" s="18" t="s">
        <v>3149</v>
      </c>
      <c r="E920" s="18" t="s">
        <v>3150</v>
      </c>
      <c r="F920" s="18" t="s">
        <v>3117</v>
      </c>
      <c r="G920" s="19">
        <v>53022.0</v>
      </c>
      <c r="H920" s="21" t="s">
        <v>1173</v>
      </c>
      <c r="I920" s="21" t="s">
        <v>39</v>
      </c>
      <c r="J920" s="11">
        <v>525000.0</v>
      </c>
      <c r="K920" s="21" t="s">
        <v>25</v>
      </c>
      <c r="L920" s="25">
        <v>43837.0</v>
      </c>
      <c r="M920" s="28" t="s">
        <v>3151</v>
      </c>
      <c r="N920" s="21" t="s">
        <v>3152</v>
      </c>
      <c r="O920" s="15">
        <f t="shared" si="1"/>
        <v>2020</v>
      </c>
      <c r="P920" s="16" t="str">
        <f t="shared" si="2"/>
        <v>USD</v>
      </c>
      <c r="Q920" s="15">
        <f>IFERROR(__xludf.DUMMYFUNCTION("IFNA(INDEX(GOOGLEFINANCE(""Currency:USD""&amp;$P920,""price"",DATE(YEAR($L920),MONTH($L920),DAY($L920))),2,2),LOOKUP(P920,CurrencyCodes,UnitsPerUSD))"),1.0)</f>
        <v>1</v>
      </c>
      <c r="R920" s="17">
        <f t="shared" si="3"/>
        <v>525000</v>
      </c>
    </row>
    <row r="921">
      <c r="A921" s="7">
        <v>43927.29769064815</v>
      </c>
      <c r="B921" s="18" t="s">
        <v>18</v>
      </c>
      <c r="C921" s="19">
        <v>810.0</v>
      </c>
      <c r="D921" s="18" t="s">
        <v>3153</v>
      </c>
      <c r="E921" s="18" t="s">
        <v>3154</v>
      </c>
      <c r="F921" s="18" t="s">
        <v>3117</v>
      </c>
      <c r="G921" s="19">
        <v>54013.0</v>
      </c>
      <c r="H921" s="21" t="s">
        <v>1173</v>
      </c>
      <c r="I921" s="21" t="s">
        <v>24</v>
      </c>
      <c r="J921" s="11">
        <v>199900.0</v>
      </c>
      <c r="K921" s="27" t="s">
        <v>25</v>
      </c>
      <c r="L921" s="22"/>
      <c r="M921" s="31" t="s">
        <v>3155</v>
      </c>
      <c r="N921" s="21"/>
      <c r="O921" s="15" t="str">
        <f t="shared" si="1"/>
        <v>Unknown</v>
      </c>
      <c r="P921" s="16" t="str">
        <f t="shared" si="2"/>
        <v>USD</v>
      </c>
      <c r="Q921" s="15">
        <f>IFERROR(__xludf.DUMMYFUNCTION("IFNA(INDEX(GOOGLEFINANCE(""Currency:USD""&amp;$P921,""price"",DATE(YEAR($L921),MONTH($L921),DAY($L921))),2,2),LOOKUP(P921,CurrencyCodes,UnitsPerUSD))"),1.0)</f>
        <v>1</v>
      </c>
      <c r="R921" s="17">
        <f t="shared" si="3"/>
        <v>199900</v>
      </c>
    </row>
    <row r="922">
      <c r="A922" s="7">
        <v>43928.25555318287</v>
      </c>
      <c r="B922" s="18" t="s">
        <v>18</v>
      </c>
      <c r="C922" s="19">
        <v>5075.0</v>
      </c>
      <c r="D922" s="18" t="s">
        <v>3156</v>
      </c>
      <c r="E922" s="18" t="s">
        <v>1671</v>
      </c>
      <c r="F922" s="8" t="s">
        <v>3117</v>
      </c>
      <c r="G922" s="19">
        <v>53220.0</v>
      </c>
      <c r="H922" s="21" t="s">
        <v>1173</v>
      </c>
      <c r="I922" s="21" t="s">
        <v>39</v>
      </c>
      <c r="J922" s="11">
        <v>260000.0</v>
      </c>
      <c r="K922" s="21" t="s">
        <v>25</v>
      </c>
      <c r="L922" s="25">
        <v>44067.0</v>
      </c>
      <c r="M922" s="24" t="s">
        <v>3157</v>
      </c>
      <c r="N922" s="27" t="s">
        <v>3158</v>
      </c>
      <c r="O922" s="15">
        <f t="shared" si="1"/>
        <v>2020</v>
      </c>
      <c r="P922" s="16" t="str">
        <f t="shared" si="2"/>
        <v>USD</v>
      </c>
      <c r="Q922" s="15">
        <f>IFERROR(__xludf.DUMMYFUNCTION("IFNA(INDEX(GOOGLEFINANCE(""Currency:USD""&amp;$P922,""price"",DATE(YEAR($L922),MONTH($L922),DAY($L922))),2,2),LOOKUP(P922,CurrencyCodes,UnitsPerUSD))"),1.0)</f>
        <v>1</v>
      </c>
      <c r="R922" s="17">
        <f t="shared" si="3"/>
        <v>260000</v>
      </c>
    </row>
    <row r="923">
      <c r="A923" s="7">
        <v>43927.30923983797</v>
      </c>
      <c r="B923" s="18" t="s">
        <v>18</v>
      </c>
      <c r="C923" s="9">
        <v>16350.0</v>
      </c>
      <c r="D923" s="8" t="s">
        <v>3159</v>
      </c>
      <c r="E923" s="18" t="s">
        <v>3160</v>
      </c>
      <c r="F923" s="8" t="s">
        <v>3117</v>
      </c>
      <c r="G923" s="9">
        <v>53042.0</v>
      </c>
      <c r="H923" s="21" t="s">
        <v>1173</v>
      </c>
      <c r="I923" s="21" t="s">
        <v>39</v>
      </c>
      <c r="J923" s="11">
        <v>269900.0</v>
      </c>
      <c r="K923" s="27" t="s">
        <v>25</v>
      </c>
      <c r="L923" s="22"/>
      <c r="M923" s="14" t="s">
        <v>3161</v>
      </c>
      <c r="N923" s="21"/>
      <c r="O923" s="15" t="str">
        <f t="shared" si="1"/>
        <v>Unknown</v>
      </c>
      <c r="P923" s="16" t="str">
        <f t="shared" si="2"/>
        <v>USD</v>
      </c>
      <c r="Q923" s="15">
        <f>IFERROR(__xludf.DUMMYFUNCTION("IFNA(INDEX(GOOGLEFINANCE(""Currency:USD""&amp;$P923,""price"",DATE(YEAR($L923),MONTH($L923),DAY($L923))),2,2),LOOKUP(P923,CurrencyCodes,UnitsPerUSD))"),1.0)</f>
        <v>1</v>
      </c>
      <c r="R923" s="17">
        <f t="shared" si="3"/>
        <v>269900</v>
      </c>
    </row>
    <row r="924">
      <c r="A924" s="7">
        <v>43927.31464033565</v>
      </c>
      <c r="B924" s="18" t="s">
        <v>18</v>
      </c>
      <c r="C924" s="19">
        <v>3059.0</v>
      </c>
      <c r="D924" s="18" t="s">
        <v>3162</v>
      </c>
      <c r="E924" s="18" t="s">
        <v>3163</v>
      </c>
      <c r="F924" s="8" t="s">
        <v>3117</v>
      </c>
      <c r="G924" s="19">
        <v>54601.0</v>
      </c>
      <c r="H924" s="21" t="s">
        <v>1173</v>
      </c>
      <c r="I924" s="21" t="s">
        <v>39</v>
      </c>
      <c r="J924" s="11">
        <v>501000.0</v>
      </c>
      <c r="K924" s="21" t="s">
        <v>25</v>
      </c>
      <c r="L924" s="25">
        <v>40387.0</v>
      </c>
      <c r="M924" s="24" t="s">
        <v>3164</v>
      </c>
      <c r="N924" s="10" t="s">
        <v>3165</v>
      </c>
      <c r="O924" s="15">
        <f t="shared" si="1"/>
        <v>2010</v>
      </c>
      <c r="P924" s="16" t="str">
        <f t="shared" si="2"/>
        <v>USD</v>
      </c>
      <c r="Q924" s="15">
        <f>IFERROR(__xludf.DUMMYFUNCTION("IFNA(INDEX(GOOGLEFINANCE(""Currency:USD""&amp;$P924,""price"",DATE(YEAR($L924),MONTH($L924),DAY($L924))),2,2),LOOKUP(P924,CurrencyCodes,UnitsPerUSD))"),1.0)</f>
        <v>1</v>
      </c>
      <c r="R924" s="17">
        <f t="shared" si="3"/>
        <v>501000</v>
      </c>
    </row>
    <row r="925">
      <c r="A925" s="7">
        <v>43974.44792302084</v>
      </c>
      <c r="B925" s="8" t="s">
        <v>18</v>
      </c>
      <c r="C925" s="9">
        <v>3214.0</v>
      </c>
      <c r="D925" s="8" t="s">
        <v>3166</v>
      </c>
      <c r="E925" s="8" t="s">
        <v>1686</v>
      </c>
      <c r="F925" s="8" t="s">
        <v>3117</v>
      </c>
      <c r="G925" s="9">
        <v>54449.0</v>
      </c>
      <c r="H925" s="10" t="s">
        <v>1173</v>
      </c>
      <c r="I925" s="10" t="s">
        <v>24</v>
      </c>
      <c r="J925" s="11">
        <v>97000.0</v>
      </c>
      <c r="K925" s="10" t="s">
        <v>25</v>
      </c>
      <c r="L925" s="25">
        <v>43962.0</v>
      </c>
      <c r="M925" s="14" t="s">
        <v>3167</v>
      </c>
      <c r="N925" s="10"/>
      <c r="O925" s="15">
        <f t="shared" si="1"/>
        <v>2020</v>
      </c>
      <c r="P925" s="16" t="str">
        <f t="shared" si="2"/>
        <v>USD</v>
      </c>
      <c r="Q925" s="15">
        <f>IFERROR(__xludf.DUMMYFUNCTION("IFNA(INDEX(GOOGLEFINANCE(""Currency:USD""&amp;$P925,""price"",DATE(YEAR($L925),MONTH($L925),DAY($L925))),2,2),LOOKUP(P925,CurrencyCodes,UnitsPerUSD))"),1.0)</f>
        <v>1</v>
      </c>
      <c r="R925" s="17">
        <f t="shared" si="3"/>
        <v>97000</v>
      </c>
    </row>
    <row r="926">
      <c r="A926" s="7">
        <v>43927.32333230324</v>
      </c>
      <c r="B926" s="18" t="s">
        <v>18</v>
      </c>
      <c r="C926" s="9">
        <v>3215.0</v>
      </c>
      <c r="D926" s="26" t="s">
        <v>3168</v>
      </c>
      <c r="E926" s="18" t="s">
        <v>1686</v>
      </c>
      <c r="F926" s="18" t="s">
        <v>3117</v>
      </c>
      <c r="G926" s="19">
        <v>54449.0</v>
      </c>
      <c r="H926" s="21" t="s">
        <v>1173</v>
      </c>
      <c r="I926" s="21" t="s">
        <v>39</v>
      </c>
      <c r="J926" s="11">
        <v>0.0</v>
      </c>
      <c r="K926" s="27" t="s">
        <v>25</v>
      </c>
      <c r="L926" s="22"/>
      <c r="M926" s="28" t="s">
        <v>3169</v>
      </c>
      <c r="N926" s="27" t="s">
        <v>3170</v>
      </c>
      <c r="O926" s="15" t="str">
        <f t="shared" si="1"/>
        <v>Unknown</v>
      </c>
      <c r="P926" s="16" t="str">
        <f t="shared" si="2"/>
        <v>USD</v>
      </c>
      <c r="Q926" s="15">
        <f>IFERROR(__xludf.DUMMYFUNCTION("IFNA(INDEX(GOOGLEFINANCE(""Currency:USD""&amp;$P926,""price"",DATE(YEAR($L926),MONTH($L926),DAY($L926))),2,2),LOOKUP(P926,CurrencyCodes,UnitsPerUSD))"),1.0)</f>
        <v>1</v>
      </c>
      <c r="R926" s="17">
        <f t="shared" si="3"/>
        <v>0</v>
      </c>
    </row>
    <row r="927">
      <c r="A927" s="7">
        <v>43927.942748125</v>
      </c>
      <c r="B927" s="18" t="s">
        <v>18</v>
      </c>
      <c r="C927" s="19" t="s">
        <v>3171</v>
      </c>
      <c r="D927" s="18" t="s">
        <v>3172</v>
      </c>
      <c r="E927" s="18" t="s">
        <v>3173</v>
      </c>
      <c r="F927" s="8" t="s">
        <v>3117</v>
      </c>
      <c r="G927" s="9">
        <v>53948.0</v>
      </c>
      <c r="H927" s="21" t="s">
        <v>1173</v>
      </c>
      <c r="I927" s="21" t="s">
        <v>39</v>
      </c>
      <c r="J927" s="11">
        <v>192800.0</v>
      </c>
      <c r="K927" s="21" t="s">
        <v>25</v>
      </c>
      <c r="L927" s="25">
        <v>39083.0</v>
      </c>
      <c r="M927" s="28" t="s">
        <v>3174</v>
      </c>
      <c r="N927" s="27" t="s">
        <v>3175</v>
      </c>
      <c r="O927" s="15">
        <f t="shared" si="1"/>
        <v>2007</v>
      </c>
      <c r="P927" s="16" t="str">
        <f t="shared" si="2"/>
        <v>USD</v>
      </c>
      <c r="Q927" s="15">
        <f>IFERROR(__xludf.DUMMYFUNCTION("IFNA(INDEX(GOOGLEFINANCE(""Currency:USD""&amp;$P927,""price"",DATE(YEAR($L927),MONTH($L927),DAY($L927))),2,2),LOOKUP(P927,CurrencyCodes,UnitsPerUSD))"),1.0)</f>
        <v>1</v>
      </c>
      <c r="R927" s="17">
        <f t="shared" si="3"/>
        <v>192800</v>
      </c>
    </row>
    <row r="928">
      <c r="A928" s="7">
        <v>43928.085832199075</v>
      </c>
      <c r="B928" s="18" t="s">
        <v>18</v>
      </c>
      <c r="C928" s="19" t="s">
        <v>3176</v>
      </c>
      <c r="D928" s="18" t="s">
        <v>3177</v>
      </c>
      <c r="E928" s="18" t="s">
        <v>3178</v>
      </c>
      <c r="F928" s="18" t="s">
        <v>3117</v>
      </c>
      <c r="G928" s="19">
        <v>53051.0</v>
      </c>
      <c r="H928" s="21" t="s">
        <v>1173</v>
      </c>
      <c r="I928" s="21" t="s">
        <v>39</v>
      </c>
      <c r="J928" s="11">
        <v>350000.0</v>
      </c>
      <c r="K928" s="27" t="s">
        <v>25</v>
      </c>
      <c r="L928" s="22"/>
      <c r="M928" s="14" t="s">
        <v>3179</v>
      </c>
      <c r="N928" s="21"/>
      <c r="O928" s="15" t="str">
        <f t="shared" si="1"/>
        <v>Unknown</v>
      </c>
      <c r="P928" s="16" t="str">
        <f t="shared" si="2"/>
        <v>USD</v>
      </c>
      <c r="Q928" s="15">
        <f>IFERROR(__xludf.DUMMYFUNCTION("IFNA(INDEX(GOOGLEFINANCE(""Currency:USD""&amp;$P928,""price"",DATE(YEAR($L928),MONTH($L928),DAY($L928))),2,2),LOOKUP(P928,CurrencyCodes,UnitsPerUSD))"),1.0)</f>
        <v>1</v>
      </c>
      <c r="R928" s="17">
        <f t="shared" si="3"/>
        <v>350000</v>
      </c>
    </row>
    <row r="929">
      <c r="A929" s="7">
        <v>43928.25123740741</v>
      </c>
      <c r="B929" s="18" t="s">
        <v>18</v>
      </c>
      <c r="C929" s="19">
        <v>3879.0</v>
      </c>
      <c r="D929" s="18" t="s">
        <v>3180</v>
      </c>
      <c r="E929" s="18" t="s">
        <v>3181</v>
      </c>
      <c r="F929" s="8" t="s">
        <v>3117</v>
      </c>
      <c r="G929" s="19">
        <v>53212.0</v>
      </c>
      <c r="H929" s="21" t="s">
        <v>1173</v>
      </c>
      <c r="I929" s="21" t="s">
        <v>39</v>
      </c>
      <c r="J929" s="11">
        <v>479900.0</v>
      </c>
      <c r="K929" s="21" t="s">
        <v>25</v>
      </c>
      <c r="L929" s="25">
        <v>38450.0</v>
      </c>
      <c r="M929" s="24" t="s">
        <v>3182</v>
      </c>
      <c r="N929" s="21" t="s">
        <v>3183</v>
      </c>
      <c r="O929" s="15">
        <f t="shared" si="1"/>
        <v>2005</v>
      </c>
      <c r="P929" s="16" t="str">
        <f t="shared" si="2"/>
        <v>USD</v>
      </c>
      <c r="Q929" s="15">
        <f>IFERROR(__xludf.DUMMYFUNCTION("IFNA(INDEX(GOOGLEFINANCE(""Currency:USD""&amp;$P929,""price"",DATE(YEAR($L929),MONTH($L929),DAY($L929))),2,2),LOOKUP(P929,CurrencyCodes,UnitsPerUSD))"),1.0)</f>
        <v>1</v>
      </c>
      <c r="R929" s="17">
        <f t="shared" si="3"/>
        <v>479900</v>
      </c>
    </row>
    <row r="930">
      <c r="A930" s="7">
        <v>43928.25998584491</v>
      </c>
      <c r="B930" s="18" t="s">
        <v>18</v>
      </c>
      <c r="C930" s="9">
        <v>23648.0</v>
      </c>
      <c r="D930" s="18" t="s">
        <v>3184</v>
      </c>
      <c r="E930" s="18" t="s">
        <v>3185</v>
      </c>
      <c r="F930" s="8" t="s">
        <v>3117</v>
      </c>
      <c r="G930" s="9">
        <v>54757.0</v>
      </c>
      <c r="H930" s="21" t="s">
        <v>1173</v>
      </c>
      <c r="I930" s="21" t="s">
        <v>39</v>
      </c>
      <c r="J930" s="11">
        <v>105000.0</v>
      </c>
      <c r="K930" s="21" t="s">
        <v>25</v>
      </c>
      <c r="L930" s="25">
        <v>41524.0</v>
      </c>
      <c r="M930" s="24" t="s">
        <v>3186</v>
      </c>
      <c r="N930" s="10" t="s">
        <v>3187</v>
      </c>
      <c r="O930" s="15">
        <f t="shared" si="1"/>
        <v>2013</v>
      </c>
      <c r="P930" s="16" t="str">
        <f t="shared" si="2"/>
        <v>USD</v>
      </c>
      <c r="Q930" s="15">
        <f>IFERROR(__xludf.DUMMYFUNCTION("IFNA(INDEX(GOOGLEFINANCE(""Currency:USD""&amp;$P930,""price"",DATE(YEAR($L930),MONTH($L930),DAY($L930))),2,2),LOOKUP(P930,CurrencyCodes,UnitsPerUSD))"),1.0)</f>
        <v>1</v>
      </c>
      <c r="R930" s="17">
        <f t="shared" si="3"/>
        <v>105000</v>
      </c>
    </row>
    <row r="931">
      <c r="A931" s="7">
        <v>43928.26386375</v>
      </c>
      <c r="B931" s="18" t="s">
        <v>18</v>
      </c>
      <c r="C931" s="19">
        <v>3309.0</v>
      </c>
      <c r="D931" s="18" t="s">
        <v>3188</v>
      </c>
      <c r="E931" s="18" t="s">
        <v>3189</v>
      </c>
      <c r="F931" s="18" t="s">
        <v>3117</v>
      </c>
      <c r="G931" s="19">
        <v>53403.0</v>
      </c>
      <c r="H931" s="21" t="s">
        <v>1173</v>
      </c>
      <c r="I931" s="21" t="s">
        <v>39</v>
      </c>
      <c r="J931" s="11">
        <v>190000.0</v>
      </c>
      <c r="K931" s="21" t="s">
        <v>25</v>
      </c>
      <c r="L931" s="25">
        <v>42328.0</v>
      </c>
      <c r="M931" s="31" t="s">
        <v>3190</v>
      </c>
      <c r="N931" s="21"/>
      <c r="O931" s="15">
        <f t="shared" si="1"/>
        <v>2015</v>
      </c>
      <c r="P931" s="16" t="str">
        <f t="shared" si="2"/>
        <v>USD</v>
      </c>
      <c r="Q931" s="15">
        <f>IFERROR(__xludf.DUMMYFUNCTION("IFNA(INDEX(GOOGLEFINANCE(""Currency:USD""&amp;$P931,""price"",DATE(YEAR($L931),MONTH($L931),DAY($L931))),2,2),LOOKUP(P931,CurrencyCodes,UnitsPerUSD))"),1.0)</f>
        <v>1</v>
      </c>
      <c r="R931" s="17">
        <f t="shared" si="3"/>
        <v>190000</v>
      </c>
    </row>
    <row r="932">
      <c r="A932" s="7">
        <v>43917.90035859954</v>
      </c>
      <c r="B932" s="8" t="s">
        <v>18</v>
      </c>
      <c r="C932" s="9">
        <v>850.0</v>
      </c>
      <c r="D932" s="8" t="s">
        <v>2237</v>
      </c>
      <c r="E932" s="8" t="s">
        <v>3191</v>
      </c>
      <c r="F932" s="8" t="s">
        <v>3117</v>
      </c>
      <c r="G932" s="9">
        <v>53959.0</v>
      </c>
      <c r="H932" s="10" t="s">
        <v>1173</v>
      </c>
      <c r="I932" s="10" t="s">
        <v>39</v>
      </c>
      <c r="J932" s="11">
        <v>362000.0</v>
      </c>
      <c r="K932" s="10" t="s">
        <v>25</v>
      </c>
      <c r="L932" s="25">
        <v>43677.0</v>
      </c>
      <c r="M932" s="28" t="s">
        <v>3192</v>
      </c>
      <c r="N932" s="10" t="s">
        <v>3193</v>
      </c>
      <c r="O932" s="15">
        <f t="shared" si="1"/>
        <v>2019</v>
      </c>
      <c r="P932" s="16" t="str">
        <f t="shared" si="2"/>
        <v>USD</v>
      </c>
      <c r="Q932" s="15">
        <f>IFERROR(__xludf.DUMMYFUNCTION("IFNA(INDEX(GOOGLEFINANCE(""Currency:USD""&amp;$P932,""price"",DATE(YEAR($L932),MONTH($L932),DAY($L932))),2,2),LOOKUP(P932,CurrencyCodes,UnitsPerUSD))"),1.0)</f>
        <v>1</v>
      </c>
      <c r="R932" s="17">
        <f t="shared" si="3"/>
        <v>362000</v>
      </c>
    </row>
    <row r="933">
      <c r="A933" s="7">
        <v>43917.91061914352</v>
      </c>
      <c r="B933" s="18" t="s">
        <v>18</v>
      </c>
      <c r="C933" s="19" t="s">
        <v>3194</v>
      </c>
      <c r="D933" s="18" t="s">
        <v>1532</v>
      </c>
      <c r="E933" s="18" t="s">
        <v>3195</v>
      </c>
      <c r="F933" s="18" t="s">
        <v>3117</v>
      </c>
      <c r="G933" s="9">
        <v>53960.0</v>
      </c>
      <c r="H933" s="21" t="s">
        <v>1173</v>
      </c>
      <c r="I933" s="21" t="s">
        <v>39</v>
      </c>
      <c r="J933" s="11">
        <v>195000.0</v>
      </c>
      <c r="K933" s="21" t="s">
        <v>25</v>
      </c>
      <c r="L933" s="25">
        <v>43006.0</v>
      </c>
      <c r="M933" s="24" t="s">
        <v>3196</v>
      </c>
      <c r="N933" s="21" t="s">
        <v>3197</v>
      </c>
      <c r="O933" s="15">
        <f t="shared" si="1"/>
        <v>2017</v>
      </c>
      <c r="P933" s="16" t="str">
        <f t="shared" si="2"/>
        <v>USD</v>
      </c>
      <c r="Q933" s="15">
        <f>IFERROR(__xludf.DUMMYFUNCTION("IFNA(INDEX(GOOGLEFINANCE(""Currency:USD""&amp;$P933,""price"",DATE(YEAR($L933),MONTH($L933),DAY($L933))),2,2),LOOKUP(P933,CurrencyCodes,UnitsPerUSD))"),1.0)</f>
        <v>1</v>
      </c>
      <c r="R933" s="17">
        <f t="shared" si="3"/>
        <v>195000</v>
      </c>
    </row>
    <row r="934">
      <c r="A934" s="7">
        <v>43928.26709353009</v>
      </c>
      <c r="B934" s="18" t="s">
        <v>18</v>
      </c>
      <c r="C934" s="19">
        <v>51.0</v>
      </c>
      <c r="D934" s="18" t="s">
        <v>3198</v>
      </c>
      <c r="E934" s="18" t="s">
        <v>3199</v>
      </c>
      <c r="F934" s="8" t="s">
        <v>3117</v>
      </c>
      <c r="G934" s="19">
        <v>53590.0</v>
      </c>
      <c r="H934" s="21" t="s">
        <v>1173</v>
      </c>
      <c r="I934" s="21" t="s">
        <v>39</v>
      </c>
      <c r="J934" s="11">
        <v>83872.0</v>
      </c>
      <c r="K934" s="21" t="s">
        <v>25</v>
      </c>
      <c r="L934" s="25">
        <v>43634.0</v>
      </c>
      <c r="M934" s="31" t="s">
        <v>3200</v>
      </c>
      <c r="N934" s="21"/>
      <c r="O934" s="15">
        <f t="shared" si="1"/>
        <v>2019</v>
      </c>
      <c r="P934" s="16" t="str">
        <f t="shared" si="2"/>
        <v>USD</v>
      </c>
      <c r="Q934" s="15">
        <f>IFERROR(__xludf.DUMMYFUNCTION("IFNA(INDEX(GOOGLEFINANCE(""Currency:USD""&amp;$P934,""price"",DATE(YEAR($L934),MONTH($L934),DAY($L934))),2,2),LOOKUP(P934,CurrencyCodes,UnitsPerUSD))"),1.0)</f>
        <v>1</v>
      </c>
      <c r="R934" s="17">
        <f t="shared" si="3"/>
        <v>83872</v>
      </c>
    </row>
    <row r="935">
      <c r="A935" s="7">
        <v>43928.28242819445</v>
      </c>
      <c r="B935" s="18" t="s">
        <v>18</v>
      </c>
      <c r="C935" s="9">
        <v>603.0</v>
      </c>
      <c r="D935" s="18" t="s">
        <v>3201</v>
      </c>
      <c r="E935" s="18" t="s">
        <v>3202</v>
      </c>
      <c r="F935" s="8" t="s">
        <v>3117</v>
      </c>
      <c r="G935" s="9">
        <v>54880.0</v>
      </c>
      <c r="H935" s="21" t="s">
        <v>1173</v>
      </c>
      <c r="I935" s="21" t="s">
        <v>39</v>
      </c>
      <c r="J935" s="11">
        <v>280000.0</v>
      </c>
      <c r="K935" s="21" t="s">
        <v>25</v>
      </c>
      <c r="L935" s="25">
        <v>39385.0</v>
      </c>
      <c r="M935" s="24" t="s">
        <v>3203</v>
      </c>
      <c r="N935" s="21" t="s">
        <v>3204</v>
      </c>
      <c r="O935" s="15">
        <f t="shared" si="1"/>
        <v>2007</v>
      </c>
      <c r="P935" s="16" t="str">
        <f t="shared" si="2"/>
        <v>USD</v>
      </c>
      <c r="Q935" s="15">
        <f>IFERROR(__xludf.DUMMYFUNCTION("IFNA(INDEX(GOOGLEFINANCE(""Currency:USD""&amp;$P935,""price"",DATE(YEAR($L935),MONTH($L935),DAY($L935))),2,2),LOOKUP(P935,CurrencyCodes,UnitsPerUSD))"),1.0)</f>
        <v>1</v>
      </c>
      <c r="R935" s="17">
        <f t="shared" si="3"/>
        <v>280000</v>
      </c>
    </row>
    <row r="936">
      <c r="A936" s="7">
        <v>43918.53414153935</v>
      </c>
      <c r="B936" s="18" t="s">
        <v>18</v>
      </c>
      <c r="C936" s="19">
        <v>18571.0</v>
      </c>
      <c r="D936" s="18" t="s">
        <v>3205</v>
      </c>
      <c r="E936" s="18" t="s">
        <v>3206</v>
      </c>
      <c r="F936" s="18" t="s">
        <v>3117</v>
      </c>
      <c r="G936" s="9">
        <v>54660.0</v>
      </c>
      <c r="H936" s="21" t="s">
        <v>1173</v>
      </c>
      <c r="I936" s="21" t="s">
        <v>39</v>
      </c>
      <c r="J936" s="11">
        <v>99000.0</v>
      </c>
      <c r="K936" s="21" t="s">
        <v>25</v>
      </c>
      <c r="L936" s="25">
        <v>41850.0</v>
      </c>
      <c r="M936" s="31" t="s">
        <v>3207</v>
      </c>
      <c r="N936" s="21"/>
      <c r="O936" s="15">
        <f t="shared" si="1"/>
        <v>2014</v>
      </c>
      <c r="P936" s="16" t="str">
        <f t="shared" si="2"/>
        <v>USD</v>
      </c>
      <c r="Q936" s="15">
        <f>IFERROR(__xludf.DUMMYFUNCTION("IFNA(INDEX(GOOGLEFINANCE(""Currency:USD""&amp;$P936,""price"",DATE(YEAR($L936),MONTH($L936),DAY($L936))),2,2),LOOKUP(P936,CurrencyCodes,UnitsPerUSD))"),1.0)</f>
        <v>1</v>
      </c>
      <c r="R936" s="17">
        <f t="shared" si="3"/>
        <v>99000</v>
      </c>
    </row>
    <row r="937">
      <c r="A937" s="7">
        <v>43918.54631622686</v>
      </c>
      <c r="B937" s="8" t="s">
        <v>18</v>
      </c>
      <c r="C937" s="9">
        <v>2717.0</v>
      </c>
      <c r="D937" s="8" t="s">
        <v>3208</v>
      </c>
      <c r="E937" s="8" t="s">
        <v>3209</v>
      </c>
      <c r="F937" s="8" t="s">
        <v>3117</v>
      </c>
      <c r="G937" s="9">
        <v>54241.0</v>
      </c>
      <c r="H937" s="10" t="s">
        <v>1173</v>
      </c>
      <c r="I937" s="10" t="s">
        <v>24</v>
      </c>
      <c r="J937" s="11">
        <v>260600.0</v>
      </c>
      <c r="K937" s="10" t="s">
        <v>25</v>
      </c>
      <c r="L937" s="25">
        <v>43790.0</v>
      </c>
      <c r="M937" s="14" t="s">
        <v>3210</v>
      </c>
      <c r="N937" s="10"/>
      <c r="O937" s="15">
        <f t="shared" si="1"/>
        <v>2019</v>
      </c>
      <c r="P937" s="16" t="str">
        <f t="shared" si="2"/>
        <v>USD</v>
      </c>
      <c r="Q937" s="15">
        <f>IFERROR(__xludf.DUMMYFUNCTION("IFNA(INDEX(GOOGLEFINANCE(""Currency:USD""&amp;$P937,""price"",DATE(YEAR($L937),MONTH($L937),DAY($L937))),2,2),LOOKUP(P937,CurrencyCodes,UnitsPerUSD))"),1.0)</f>
        <v>1</v>
      </c>
      <c r="R937" s="17">
        <f t="shared" si="3"/>
        <v>260600</v>
      </c>
    </row>
    <row r="938">
      <c r="A938" s="7">
        <v>43928.28553971065</v>
      </c>
      <c r="B938" s="8" t="s">
        <v>18</v>
      </c>
      <c r="C938" s="9">
        <v>14909.0</v>
      </c>
      <c r="D938" s="8" t="s">
        <v>3211</v>
      </c>
      <c r="E938" s="8" t="s">
        <v>3212</v>
      </c>
      <c r="F938" s="8" t="s">
        <v>3117</v>
      </c>
      <c r="G938" s="9">
        <v>53182.0</v>
      </c>
      <c r="H938" s="10" t="s">
        <v>1173</v>
      </c>
      <c r="I938" s="10" t="s">
        <v>39</v>
      </c>
      <c r="J938" s="11">
        <v>167500.0</v>
      </c>
      <c r="K938" s="10" t="s">
        <v>25</v>
      </c>
      <c r="L938" s="25">
        <v>39615.0</v>
      </c>
      <c r="M938" s="28" t="s">
        <v>3213</v>
      </c>
      <c r="N938" s="10" t="s">
        <v>3187</v>
      </c>
      <c r="O938" s="15">
        <f t="shared" si="1"/>
        <v>2008</v>
      </c>
      <c r="P938" s="16" t="str">
        <f t="shared" si="2"/>
        <v>USD</v>
      </c>
      <c r="Q938" s="15">
        <f>IFERROR(__xludf.DUMMYFUNCTION("IFNA(INDEX(GOOGLEFINANCE(""Currency:USD""&amp;$P938,""price"",DATE(YEAR($L938),MONTH($L938),DAY($L938))),2,2),LOOKUP(P938,CurrencyCodes,UnitsPerUSD))"),1.0)</f>
        <v>1</v>
      </c>
      <c r="R938" s="17">
        <f t="shared" si="3"/>
        <v>167500</v>
      </c>
    </row>
    <row r="939">
      <c r="A939" s="7">
        <v>43928.30610306713</v>
      </c>
      <c r="B939" s="18" t="s">
        <v>18</v>
      </c>
      <c r="C939" s="19">
        <v>720.0</v>
      </c>
      <c r="D939" s="18" t="s">
        <v>3214</v>
      </c>
      <c r="E939" s="18" t="s">
        <v>3215</v>
      </c>
      <c r="F939" s="18" t="s">
        <v>3117</v>
      </c>
      <c r="G939" s="19">
        <v>54665.0</v>
      </c>
      <c r="H939" s="21" t="s">
        <v>1173</v>
      </c>
      <c r="I939" s="21" t="s">
        <v>39</v>
      </c>
      <c r="J939" s="11">
        <v>82500.0</v>
      </c>
      <c r="K939" s="21" t="s">
        <v>25</v>
      </c>
      <c r="L939" s="25">
        <v>41379.0</v>
      </c>
      <c r="M939" s="31" t="s">
        <v>3216</v>
      </c>
      <c r="N939" s="21"/>
      <c r="O939" s="15">
        <f t="shared" si="1"/>
        <v>2013</v>
      </c>
      <c r="P939" s="16" t="str">
        <f t="shared" si="2"/>
        <v>USD</v>
      </c>
      <c r="Q939" s="15">
        <f>IFERROR(__xludf.DUMMYFUNCTION("IFNA(INDEX(GOOGLEFINANCE(""Currency:USD""&amp;$P939,""price"",DATE(YEAR($L939),MONTH($L939),DAY($L939))),2,2),LOOKUP(P939,CurrencyCodes,UnitsPerUSD))"),1.0)</f>
        <v>1</v>
      </c>
      <c r="R939" s="17">
        <f t="shared" si="3"/>
        <v>82500</v>
      </c>
    </row>
    <row r="940">
      <c r="A940" s="7">
        <v>43927.31893662037</v>
      </c>
      <c r="B940" s="18" t="s">
        <v>18</v>
      </c>
      <c r="C940" s="19">
        <v>2005.0</v>
      </c>
      <c r="D940" s="18" t="s">
        <v>3217</v>
      </c>
      <c r="E940" s="18" t="s">
        <v>3218</v>
      </c>
      <c r="F940" s="18" t="s">
        <v>3117</v>
      </c>
      <c r="G940" s="19">
        <v>54220.0</v>
      </c>
      <c r="H940" s="21" t="s">
        <v>1173</v>
      </c>
      <c r="I940" s="21" t="s">
        <v>39</v>
      </c>
      <c r="J940" s="11">
        <v>0.0</v>
      </c>
      <c r="K940" s="21" t="s">
        <v>25</v>
      </c>
      <c r="L940" s="25">
        <v>42689.0</v>
      </c>
      <c r="M940" s="31" t="s">
        <v>3219</v>
      </c>
      <c r="N940" s="21"/>
      <c r="O940" s="15">
        <f t="shared" si="1"/>
        <v>2016</v>
      </c>
      <c r="P940" s="16" t="str">
        <f t="shared" si="2"/>
        <v>USD</v>
      </c>
      <c r="Q940" s="15">
        <f>IFERROR(__xludf.DUMMYFUNCTION("IFNA(INDEX(GOOGLEFINANCE(""Currency:USD""&amp;$P940,""price"",DATE(YEAR($L940),MONTH($L940),DAY($L940))),2,2),LOOKUP(P940,CurrencyCodes,UnitsPerUSD))"),1.0)</f>
        <v>1</v>
      </c>
      <c r="R940" s="17">
        <f t="shared" si="3"/>
        <v>0</v>
      </c>
    </row>
    <row r="941">
      <c r="A941" s="7">
        <v>43928.32143087963</v>
      </c>
      <c r="B941" s="18" t="s">
        <v>18</v>
      </c>
      <c r="C941" s="19">
        <v>1719.0</v>
      </c>
      <c r="D941" s="18" t="s">
        <v>1431</v>
      </c>
      <c r="E941" s="18" t="s">
        <v>3220</v>
      </c>
      <c r="F941" s="18" t="s">
        <v>3117</v>
      </c>
      <c r="G941" s="19">
        <v>54401.0</v>
      </c>
      <c r="H941" s="21" t="s">
        <v>1173</v>
      </c>
      <c r="I941" s="21" t="s">
        <v>39</v>
      </c>
      <c r="J941" s="11">
        <v>0.0</v>
      </c>
      <c r="K941" s="21" t="s">
        <v>25</v>
      </c>
      <c r="L941" s="25">
        <v>41429.0</v>
      </c>
      <c r="M941" s="24" t="s">
        <v>3221</v>
      </c>
      <c r="N941" s="10" t="s">
        <v>3222</v>
      </c>
      <c r="O941" s="15">
        <f t="shared" si="1"/>
        <v>2013</v>
      </c>
      <c r="P941" s="16" t="str">
        <f t="shared" si="2"/>
        <v>USD</v>
      </c>
      <c r="Q941" s="15">
        <f>IFERROR(__xludf.DUMMYFUNCTION("IFNA(INDEX(GOOGLEFINANCE(""Currency:USD""&amp;$P941,""price"",DATE(YEAR($L941),MONTH($L941),DAY($L941))),2,2),LOOKUP(P941,CurrencyCodes,UnitsPerUSD))"),1.0)</f>
        <v>1</v>
      </c>
      <c r="R941" s="17">
        <f t="shared" si="3"/>
        <v>0</v>
      </c>
    </row>
    <row r="942">
      <c r="A942" s="7">
        <v>43925.36919184028</v>
      </c>
      <c r="B942" s="8" t="s">
        <v>18</v>
      </c>
      <c r="C942" s="9">
        <v>204.0</v>
      </c>
      <c r="D942" s="8" t="s">
        <v>3223</v>
      </c>
      <c r="E942" s="8" t="s">
        <v>3224</v>
      </c>
      <c r="F942" s="8" t="s">
        <v>3225</v>
      </c>
      <c r="G942" s="9">
        <v>25801.0</v>
      </c>
      <c r="H942" s="10" t="s">
        <v>1173</v>
      </c>
      <c r="I942" s="10" t="s">
        <v>39</v>
      </c>
      <c r="J942" s="11">
        <v>0.0</v>
      </c>
      <c r="K942" s="12" t="s">
        <v>25</v>
      </c>
      <c r="L942" s="22"/>
      <c r="M942" s="10"/>
      <c r="N942" s="12" t="s">
        <v>3226</v>
      </c>
      <c r="O942" s="15" t="str">
        <f t="shared" si="1"/>
        <v>Unknown</v>
      </c>
      <c r="P942" s="16" t="str">
        <f t="shared" si="2"/>
        <v>USD</v>
      </c>
      <c r="Q942" s="15">
        <f>IFERROR(__xludf.DUMMYFUNCTION("IFNA(INDEX(GOOGLEFINANCE(""Currency:USD""&amp;$P942,""price"",DATE(YEAR($L942),MONTH($L942),DAY($L942))),2,2),LOOKUP(P942,CurrencyCodes,UnitsPerUSD))"),1.0)</f>
        <v>1</v>
      </c>
      <c r="R942" s="17">
        <f t="shared" si="3"/>
        <v>0</v>
      </c>
    </row>
    <row r="943">
      <c r="A943" s="7">
        <v>43925.24962653936</v>
      </c>
      <c r="B943" s="8" t="s">
        <v>18</v>
      </c>
      <c r="C943" s="9">
        <v>439.0</v>
      </c>
      <c r="D943" s="8" t="s">
        <v>3227</v>
      </c>
      <c r="E943" s="8" t="s">
        <v>3228</v>
      </c>
      <c r="F943" s="8" t="s">
        <v>3225</v>
      </c>
      <c r="G943" s="9">
        <v>26201.0</v>
      </c>
      <c r="H943" s="10" t="s">
        <v>1173</v>
      </c>
      <c r="I943" s="10" t="s">
        <v>39</v>
      </c>
      <c r="J943" s="11">
        <v>129500.0</v>
      </c>
      <c r="K943" s="10" t="s">
        <v>25</v>
      </c>
      <c r="L943" s="25">
        <v>43364.0</v>
      </c>
      <c r="M943" s="14" t="s">
        <v>3229</v>
      </c>
      <c r="N943" s="10"/>
      <c r="O943" s="15">
        <f t="shared" si="1"/>
        <v>2018</v>
      </c>
      <c r="P943" s="16" t="str">
        <f t="shared" si="2"/>
        <v>USD</v>
      </c>
      <c r="Q943" s="15">
        <f>IFERROR(__xludf.DUMMYFUNCTION("IFNA(INDEX(GOOGLEFINANCE(""Currency:USD""&amp;$P943,""price"",DATE(YEAR($L943),MONTH($L943),DAY($L943))),2,2),LOOKUP(P943,CurrencyCodes,UnitsPerUSD))"),1.0)</f>
        <v>1</v>
      </c>
      <c r="R943" s="17">
        <f t="shared" si="3"/>
        <v>129500</v>
      </c>
    </row>
    <row r="944">
      <c r="A944" s="7">
        <v>43925.25255622686</v>
      </c>
      <c r="B944" s="8" t="s">
        <v>18</v>
      </c>
      <c r="C944" s="9">
        <v>1906.0</v>
      </c>
      <c r="D944" s="8" t="s">
        <v>3230</v>
      </c>
      <c r="E944" s="8" t="s">
        <v>3231</v>
      </c>
      <c r="F944" s="8" t="s">
        <v>3225</v>
      </c>
      <c r="G944" s="9">
        <v>25510.0</v>
      </c>
      <c r="H944" s="10" t="s">
        <v>1173</v>
      </c>
      <c r="I944" s="10" t="s">
        <v>24</v>
      </c>
      <c r="J944" s="11">
        <v>22000.0</v>
      </c>
      <c r="K944" s="10" t="s">
        <v>25</v>
      </c>
      <c r="L944" s="25">
        <v>43435.0</v>
      </c>
      <c r="M944" s="14" t="s">
        <v>3232</v>
      </c>
      <c r="N944" s="10"/>
      <c r="O944" s="15">
        <f t="shared" si="1"/>
        <v>2018</v>
      </c>
      <c r="P944" s="16" t="str">
        <f t="shared" si="2"/>
        <v>USD</v>
      </c>
      <c r="Q944" s="15">
        <f>IFERROR(__xludf.DUMMYFUNCTION("IFNA(INDEX(GOOGLEFINANCE(""Currency:USD""&amp;$P944,""price"",DATE(YEAR($L944),MONTH($L944),DAY($L944))),2,2),LOOKUP(P944,CurrencyCodes,UnitsPerUSD))"),1.0)</f>
        <v>1</v>
      </c>
      <c r="R944" s="17">
        <f t="shared" si="3"/>
        <v>22000</v>
      </c>
    </row>
    <row r="945">
      <c r="A945" s="7">
        <v>43925.962626967594</v>
      </c>
      <c r="B945" s="8" t="s">
        <v>18</v>
      </c>
      <c r="C945" s="9">
        <v>10.0</v>
      </c>
      <c r="D945" s="8" t="s">
        <v>3233</v>
      </c>
      <c r="E945" s="8" t="s">
        <v>3234</v>
      </c>
      <c r="F945" s="8" t="s">
        <v>3225</v>
      </c>
      <c r="G945" s="9">
        <v>25701.0</v>
      </c>
      <c r="H945" s="10" t="s">
        <v>1173</v>
      </c>
      <c r="I945" s="10" t="s">
        <v>39</v>
      </c>
      <c r="J945" s="11">
        <v>0.0</v>
      </c>
      <c r="K945" s="12" t="s">
        <v>25</v>
      </c>
      <c r="L945" s="22"/>
      <c r="M945" s="10"/>
      <c r="N945" s="12" t="s">
        <v>3235</v>
      </c>
      <c r="O945" s="15" t="str">
        <f t="shared" si="1"/>
        <v>Unknown</v>
      </c>
      <c r="P945" s="16" t="str">
        <f t="shared" si="2"/>
        <v>USD</v>
      </c>
      <c r="Q945" s="15">
        <f>IFERROR(__xludf.DUMMYFUNCTION("IFNA(INDEX(GOOGLEFINANCE(""Currency:USD""&amp;$P945,""price"",DATE(YEAR($L945),MONTH($L945),DAY($L945))),2,2),LOOKUP(P945,CurrencyCodes,UnitsPerUSD))"),1.0)</f>
        <v>1</v>
      </c>
      <c r="R945" s="17">
        <f t="shared" si="3"/>
        <v>0</v>
      </c>
    </row>
    <row r="946">
      <c r="A946" s="7">
        <v>43925.25735668981</v>
      </c>
      <c r="B946" s="18" t="s">
        <v>18</v>
      </c>
      <c r="C946" s="9">
        <v>102.0</v>
      </c>
      <c r="D946" s="8" t="s">
        <v>3236</v>
      </c>
      <c r="E946" s="18" t="s">
        <v>3237</v>
      </c>
      <c r="F946" s="8" t="s">
        <v>3225</v>
      </c>
      <c r="G946" s="9">
        <v>26537.0</v>
      </c>
      <c r="H946" s="21" t="s">
        <v>1173</v>
      </c>
      <c r="I946" s="21" t="s">
        <v>39</v>
      </c>
      <c r="J946" s="11">
        <v>125000.0</v>
      </c>
      <c r="K946" s="21" t="s">
        <v>25</v>
      </c>
      <c r="L946" s="25">
        <v>43392.0</v>
      </c>
      <c r="M946" s="28" t="s">
        <v>3238</v>
      </c>
      <c r="N946" s="27" t="s">
        <v>3239</v>
      </c>
      <c r="O946" s="15">
        <f t="shared" si="1"/>
        <v>2018</v>
      </c>
      <c r="P946" s="16" t="str">
        <f t="shared" si="2"/>
        <v>USD</v>
      </c>
      <c r="Q946" s="15">
        <f>IFERROR(__xludf.DUMMYFUNCTION("IFNA(INDEX(GOOGLEFINANCE(""Currency:USD""&amp;$P946,""price"",DATE(YEAR($L946),MONTH($L946),DAY($L946))),2,2),LOOKUP(P946,CurrencyCodes,UnitsPerUSD))"),1.0)</f>
        <v>1</v>
      </c>
      <c r="R946" s="17">
        <f t="shared" si="3"/>
        <v>125000</v>
      </c>
    </row>
    <row r="947">
      <c r="A947" s="7">
        <v>43925.261885925924</v>
      </c>
      <c r="B947" s="8" t="s">
        <v>18</v>
      </c>
      <c r="C947" s="9">
        <v>135.0</v>
      </c>
      <c r="D947" s="8" t="s">
        <v>3240</v>
      </c>
      <c r="E947" s="8" t="s">
        <v>3241</v>
      </c>
      <c r="F947" s="8" t="s">
        <v>3225</v>
      </c>
      <c r="G947" s="9">
        <v>25901.0</v>
      </c>
      <c r="H947" s="10" t="s">
        <v>1173</v>
      </c>
      <c r="I947" s="10" t="s">
        <v>39</v>
      </c>
      <c r="J947" s="11">
        <v>0.0</v>
      </c>
      <c r="K947" s="12" t="s">
        <v>25</v>
      </c>
      <c r="L947" s="13"/>
      <c r="M947" s="28" t="s">
        <v>3242</v>
      </c>
      <c r="N947" s="12" t="s">
        <v>3243</v>
      </c>
      <c r="O947" s="15" t="str">
        <f t="shared" si="1"/>
        <v>Unknown</v>
      </c>
      <c r="P947" s="16" t="str">
        <f t="shared" si="2"/>
        <v>USD</v>
      </c>
      <c r="Q947" s="15">
        <f>IFERROR(__xludf.DUMMYFUNCTION("IFNA(INDEX(GOOGLEFINANCE(""Currency:USD""&amp;$P947,""price"",DATE(YEAR($L947),MONTH($L947),DAY($L947))),2,2),LOOKUP(P947,CurrencyCodes,UnitsPerUSD))"),1.0)</f>
        <v>1</v>
      </c>
      <c r="R947" s="17">
        <f t="shared" si="3"/>
        <v>0</v>
      </c>
    </row>
    <row r="948">
      <c r="A948" s="7">
        <v>43925.95651092593</v>
      </c>
      <c r="B948" s="8" t="s">
        <v>18</v>
      </c>
      <c r="C948" s="9">
        <v>1108.0</v>
      </c>
      <c r="D948" s="8" t="s">
        <v>3244</v>
      </c>
      <c r="E948" s="8" t="s">
        <v>3245</v>
      </c>
      <c r="F948" s="8" t="s">
        <v>3225</v>
      </c>
      <c r="G948" s="9">
        <v>24740.0</v>
      </c>
      <c r="H948" s="10" t="s">
        <v>1173</v>
      </c>
      <c r="I948" s="10" t="s">
        <v>39</v>
      </c>
      <c r="J948" s="11">
        <v>0.0</v>
      </c>
      <c r="K948" s="12" t="s">
        <v>25</v>
      </c>
      <c r="L948" s="22"/>
      <c r="M948" s="10"/>
      <c r="N948" s="10"/>
      <c r="O948" s="15" t="str">
        <f t="shared" si="1"/>
        <v>Unknown</v>
      </c>
      <c r="P948" s="16" t="str">
        <f t="shared" si="2"/>
        <v>USD</v>
      </c>
      <c r="Q948" s="15">
        <f>IFERROR(__xludf.DUMMYFUNCTION("IFNA(INDEX(GOOGLEFINANCE(""Currency:USD""&amp;$P948,""price"",DATE(YEAR($L948),MONTH($L948),DAY($L948))),2,2),LOOKUP(P948,CurrencyCodes,UnitsPerUSD))"),1.0)</f>
        <v>1</v>
      </c>
      <c r="R948" s="17">
        <f t="shared" si="3"/>
        <v>0</v>
      </c>
    </row>
    <row r="949">
      <c r="A949" s="7">
        <v>43925.95355225695</v>
      </c>
      <c r="B949" s="8" t="s">
        <v>18</v>
      </c>
      <c r="C949" s="9">
        <v>118.0</v>
      </c>
      <c r="D949" s="8" t="s">
        <v>3246</v>
      </c>
      <c r="E949" s="8" t="s">
        <v>3247</v>
      </c>
      <c r="F949" s="8" t="s">
        <v>3225</v>
      </c>
      <c r="G949" s="9">
        <v>25271.0</v>
      </c>
      <c r="H949" s="10" t="s">
        <v>1173</v>
      </c>
      <c r="I949" s="10" t="s">
        <v>39</v>
      </c>
      <c r="J949" s="11">
        <v>0.0</v>
      </c>
      <c r="K949" s="12" t="s">
        <v>25</v>
      </c>
      <c r="L949" s="13"/>
      <c r="M949" s="14" t="s">
        <v>3248</v>
      </c>
      <c r="N949" s="10"/>
      <c r="O949" s="15" t="str">
        <f t="shared" si="1"/>
        <v>Unknown</v>
      </c>
      <c r="P949" s="16" t="str">
        <f t="shared" si="2"/>
        <v>USD</v>
      </c>
      <c r="Q949" s="15">
        <f>IFERROR(__xludf.DUMMYFUNCTION("IFNA(INDEX(GOOGLEFINANCE(""Currency:USD""&amp;$P949,""price"",DATE(YEAR($L949),MONTH($L949),DAY($L949))),2,2),LOOKUP(P949,CurrencyCodes,UnitsPerUSD))"),1.0)</f>
        <v>1</v>
      </c>
      <c r="R949" s="17">
        <f t="shared" si="3"/>
        <v>0</v>
      </c>
    </row>
    <row r="950">
      <c r="A950" s="7">
        <v>43925.26789030092</v>
      </c>
      <c r="B950" s="8" t="s">
        <v>18</v>
      </c>
      <c r="C950" s="9">
        <v>65.0</v>
      </c>
      <c r="D950" s="8" t="s">
        <v>3249</v>
      </c>
      <c r="E950" s="8" t="s">
        <v>3250</v>
      </c>
      <c r="F950" s="8" t="s">
        <v>3225</v>
      </c>
      <c r="G950" s="9">
        <v>25177.0</v>
      </c>
      <c r="H950" s="10" t="s">
        <v>1173</v>
      </c>
      <c r="I950" s="10" t="s">
        <v>39</v>
      </c>
      <c r="J950" s="11">
        <v>0.0</v>
      </c>
      <c r="K950" s="12" t="s">
        <v>25</v>
      </c>
      <c r="L950" s="22"/>
      <c r="M950" s="28" t="s">
        <v>3251</v>
      </c>
      <c r="N950" s="12" t="s">
        <v>3252</v>
      </c>
      <c r="O950" s="15" t="str">
        <f t="shared" si="1"/>
        <v>Unknown</v>
      </c>
      <c r="P950" s="16" t="str">
        <f t="shared" si="2"/>
        <v>USD</v>
      </c>
      <c r="Q950" s="15">
        <f>IFERROR(__xludf.DUMMYFUNCTION("IFNA(INDEX(GOOGLEFINANCE(""Currency:USD""&amp;$P950,""price"",DATE(YEAR($L950),MONTH($L950),DAY($L950))),2,2),LOOKUP(P950,CurrencyCodes,UnitsPerUSD))"),1.0)</f>
        <v>1</v>
      </c>
      <c r="R950" s="17">
        <f t="shared" si="3"/>
        <v>0</v>
      </c>
    </row>
    <row r="951">
      <c r="A951" s="7">
        <v>43925.269285937495</v>
      </c>
      <c r="B951" s="8" t="s">
        <v>18</v>
      </c>
      <c r="C951" s="9">
        <v>216.0</v>
      </c>
      <c r="D951" s="8" t="s">
        <v>2796</v>
      </c>
      <c r="E951" s="8" t="s">
        <v>3253</v>
      </c>
      <c r="F951" s="8" t="s">
        <v>3225</v>
      </c>
      <c r="G951" s="9">
        <v>26651.0</v>
      </c>
      <c r="H951" s="10" t="s">
        <v>1173</v>
      </c>
      <c r="I951" s="10" t="s">
        <v>24</v>
      </c>
      <c r="J951" s="11">
        <v>155000.0</v>
      </c>
      <c r="K951" s="10" t="s">
        <v>25</v>
      </c>
      <c r="L951" s="25">
        <v>43839.0</v>
      </c>
      <c r="M951" s="14" t="s">
        <v>3254</v>
      </c>
      <c r="N951" s="10"/>
      <c r="O951" s="15">
        <f t="shared" si="1"/>
        <v>2020</v>
      </c>
      <c r="P951" s="16" t="str">
        <f t="shared" si="2"/>
        <v>USD</v>
      </c>
      <c r="Q951" s="15">
        <f>IFERROR(__xludf.DUMMYFUNCTION("IFNA(INDEX(GOOGLEFINANCE(""Currency:USD""&amp;$P951,""price"",DATE(YEAR($L951),MONTH($L951),DAY($L951))),2,2),LOOKUP(P951,CurrencyCodes,UnitsPerUSD))"),1.0)</f>
        <v>1</v>
      </c>
      <c r="R951" s="17">
        <f t="shared" si="3"/>
        <v>155000</v>
      </c>
    </row>
    <row r="952">
      <c r="A952" s="7">
        <v>43925.941243587964</v>
      </c>
      <c r="B952" s="8" t="s">
        <v>18</v>
      </c>
      <c r="C952" s="9">
        <v>439.0</v>
      </c>
      <c r="D952" s="18" t="s">
        <v>3255</v>
      </c>
      <c r="E952" s="8" t="s">
        <v>3256</v>
      </c>
      <c r="F952" s="8" t="s">
        <v>3225</v>
      </c>
      <c r="G952" s="9">
        <v>26288.0</v>
      </c>
      <c r="H952" s="10" t="s">
        <v>1173</v>
      </c>
      <c r="I952" s="10" t="s">
        <v>39</v>
      </c>
      <c r="J952" s="11">
        <v>0.0</v>
      </c>
      <c r="K952" s="12" t="s">
        <v>25</v>
      </c>
      <c r="L952" s="22"/>
      <c r="M952" s="10"/>
      <c r="N952" s="10"/>
      <c r="O952" s="15" t="str">
        <f t="shared" si="1"/>
        <v>Unknown</v>
      </c>
      <c r="P952" s="16" t="str">
        <f t="shared" si="2"/>
        <v>USD</v>
      </c>
      <c r="Q952" s="15">
        <f>IFERROR(__xludf.DUMMYFUNCTION("IFNA(INDEX(GOOGLEFINANCE(""Currency:USD""&amp;$P952,""price"",DATE(YEAR($L952),MONTH($L952),DAY($L952))),2,2),LOOKUP(P952,CurrencyCodes,UnitsPerUSD))"),1.0)</f>
        <v>1</v>
      </c>
      <c r="R952" s="17">
        <f t="shared" si="3"/>
        <v>0</v>
      </c>
    </row>
    <row r="953">
      <c r="A953" s="7">
        <v>43925.27108436343</v>
      </c>
      <c r="B953" s="8" t="s">
        <v>18</v>
      </c>
      <c r="C953" s="9">
        <v>3176.0</v>
      </c>
      <c r="D953" s="8" t="s">
        <v>3257</v>
      </c>
      <c r="E953" s="8" t="s">
        <v>3258</v>
      </c>
      <c r="F953" s="8" t="s">
        <v>3225</v>
      </c>
      <c r="G953" s="9">
        <v>26452.0</v>
      </c>
      <c r="H953" s="10" t="s">
        <v>1173</v>
      </c>
      <c r="I953" s="10" t="s">
        <v>39</v>
      </c>
      <c r="J953" s="11">
        <v>0.0</v>
      </c>
      <c r="K953" s="12" t="s">
        <v>25</v>
      </c>
      <c r="L953" s="13"/>
      <c r="M953" s="28" t="s">
        <v>3259</v>
      </c>
      <c r="N953" s="10" t="s">
        <v>3260</v>
      </c>
      <c r="O953" s="15" t="str">
        <f t="shared" si="1"/>
        <v>Unknown</v>
      </c>
      <c r="P953" s="16" t="str">
        <f t="shared" si="2"/>
        <v>USD</v>
      </c>
      <c r="Q953" s="15">
        <f>IFERROR(__xludf.DUMMYFUNCTION("IFNA(INDEX(GOOGLEFINANCE(""Currency:USD""&amp;$P953,""price"",DATE(YEAR($L953),MONTH($L953),DAY($L953))),2,2),LOOKUP(P953,CurrencyCodes,UnitsPerUSD))"),1.0)</f>
        <v>1</v>
      </c>
      <c r="R953" s="17">
        <f t="shared" si="3"/>
        <v>0</v>
      </c>
    </row>
    <row r="954">
      <c r="A954" s="7">
        <v>43922.249329143524</v>
      </c>
      <c r="B954" s="18" t="s">
        <v>18</v>
      </c>
      <c r="C954" s="19">
        <v>201.0</v>
      </c>
      <c r="D954" s="18" t="s">
        <v>3261</v>
      </c>
      <c r="E954" s="18" t="s">
        <v>3262</v>
      </c>
      <c r="F954" s="8" t="s">
        <v>3225</v>
      </c>
      <c r="G954" s="19">
        <v>26003.0</v>
      </c>
      <c r="H954" s="21" t="s">
        <v>1173</v>
      </c>
      <c r="I954" s="21" t="s">
        <v>39</v>
      </c>
      <c r="J954" s="11">
        <v>0.0</v>
      </c>
      <c r="K954" s="27" t="s">
        <v>25</v>
      </c>
      <c r="L954" s="22"/>
      <c r="M954" s="24" t="s">
        <v>3263</v>
      </c>
      <c r="N954" s="10" t="s">
        <v>3264</v>
      </c>
      <c r="O954" s="15" t="str">
        <f t="shared" si="1"/>
        <v>Unknown</v>
      </c>
      <c r="P954" s="16" t="str">
        <f t="shared" si="2"/>
        <v>USD</v>
      </c>
      <c r="Q954" s="15">
        <f>IFERROR(__xludf.DUMMYFUNCTION("IFNA(INDEX(GOOGLEFINANCE(""Currency:USD""&amp;$P954,""price"",DATE(YEAR($L954),MONTH($L954),DAY($L954))),2,2),LOOKUP(P954,CurrencyCodes,UnitsPerUSD))"),1.0)</f>
        <v>1</v>
      </c>
      <c r="R954" s="17">
        <f t="shared" si="3"/>
        <v>0</v>
      </c>
    </row>
    <row r="955">
      <c r="A955" s="7">
        <v>43921.19240752315</v>
      </c>
      <c r="B955" s="18" t="s">
        <v>18</v>
      </c>
      <c r="C955" s="9">
        <v>300.0</v>
      </c>
      <c r="D955" s="8" t="s">
        <v>3265</v>
      </c>
      <c r="E955" s="18" t="s">
        <v>2299</v>
      </c>
      <c r="F955" s="8" t="s">
        <v>3266</v>
      </c>
      <c r="G955" s="19">
        <v>82834.0</v>
      </c>
      <c r="H955" s="21" t="s">
        <v>1173</v>
      </c>
      <c r="I955" s="21" t="s">
        <v>39</v>
      </c>
      <c r="J955" s="11">
        <v>0.0</v>
      </c>
      <c r="K955" s="27" t="s">
        <v>25</v>
      </c>
      <c r="L955" s="22"/>
      <c r="M955" s="24" t="s">
        <v>3267</v>
      </c>
      <c r="N955" s="10" t="s">
        <v>3268</v>
      </c>
      <c r="O955" s="15" t="str">
        <f t="shared" si="1"/>
        <v>Unknown</v>
      </c>
      <c r="P955" s="16" t="str">
        <f t="shared" si="2"/>
        <v>USD</v>
      </c>
      <c r="Q955" s="15">
        <f>IFERROR(__xludf.DUMMYFUNCTION("IFNA(INDEX(GOOGLEFINANCE(""Currency:USD""&amp;$P955,""price"",DATE(YEAR($L955),MONTH($L955),DAY($L955))),2,2),LOOKUP(P955,CurrencyCodes,UnitsPerUSD))"),1.0)</f>
        <v>1</v>
      </c>
      <c r="R955" s="17">
        <f t="shared" si="3"/>
        <v>0</v>
      </c>
    </row>
    <row r="956">
      <c r="A956" s="7">
        <v>43921.12305101852</v>
      </c>
      <c r="B956" s="18" t="s">
        <v>18</v>
      </c>
      <c r="C956" s="19">
        <v>1202.0</v>
      </c>
      <c r="D956" s="18" t="s">
        <v>3269</v>
      </c>
      <c r="E956" s="18" t="s">
        <v>3270</v>
      </c>
      <c r="F956" s="18" t="s">
        <v>3266</v>
      </c>
      <c r="G956" s="19">
        <v>82414.0</v>
      </c>
      <c r="H956" s="21" t="s">
        <v>1173</v>
      </c>
      <c r="I956" s="21" t="s">
        <v>39</v>
      </c>
      <c r="J956" s="11">
        <v>365000.0</v>
      </c>
      <c r="K956" s="21" t="s">
        <v>25</v>
      </c>
      <c r="L956" s="25">
        <v>41249.0</v>
      </c>
      <c r="M956" s="24" t="s">
        <v>3271</v>
      </c>
      <c r="N956" s="27" t="s">
        <v>3272</v>
      </c>
      <c r="O956" s="15">
        <f t="shared" si="1"/>
        <v>2012</v>
      </c>
      <c r="P956" s="16" t="str">
        <f t="shared" si="2"/>
        <v>USD</v>
      </c>
      <c r="Q956" s="15">
        <f>IFERROR(__xludf.DUMMYFUNCTION("IFNA(INDEX(GOOGLEFINANCE(""Currency:USD""&amp;$P956,""price"",DATE(YEAR($L956),MONTH($L956),DAY($L956))),2,2),LOOKUP(P956,CurrencyCodes,UnitsPerUSD))"),1.0)</f>
        <v>1</v>
      </c>
      <c r="R956" s="17">
        <f t="shared" si="3"/>
        <v>365000</v>
      </c>
    </row>
    <row r="957">
      <c r="A957" s="7">
        <v>43921.16679230324</v>
      </c>
      <c r="B957" s="18" t="s">
        <v>18</v>
      </c>
      <c r="C957" s="19">
        <v>808.0</v>
      </c>
      <c r="D957" s="18" t="s">
        <v>3273</v>
      </c>
      <c r="E957" s="18" t="s">
        <v>3274</v>
      </c>
      <c r="F957" s="18" t="s">
        <v>3266</v>
      </c>
      <c r="G957" s="19">
        <v>82414.0</v>
      </c>
      <c r="H957" s="21" t="s">
        <v>1173</v>
      </c>
      <c r="I957" s="21" t="s">
        <v>39</v>
      </c>
      <c r="J957" s="11">
        <v>0.0</v>
      </c>
      <c r="K957" s="27" t="s">
        <v>25</v>
      </c>
      <c r="L957" s="22"/>
      <c r="M957" s="24" t="s">
        <v>3275</v>
      </c>
      <c r="N957" s="27" t="s">
        <v>3276</v>
      </c>
      <c r="O957" s="15" t="str">
        <f t="shared" si="1"/>
        <v>Unknown</v>
      </c>
      <c r="P957" s="16" t="str">
        <f t="shared" si="2"/>
        <v>USD</v>
      </c>
      <c r="Q957" s="15">
        <f>IFERROR(__xludf.DUMMYFUNCTION("IFNA(INDEX(GOOGLEFINANCE(""Currency:USD""&amp;$P957,""price"",DATE(YEAR($L957),MONTH($L957),DAY($L957))),2,2),LOOKUP(P957,CurrencyCodes,UnitsPerUSD))"),1.0)</f>
        <v>1</v>
      </c>
      <c r="R957" s="17">
        <f t="shared" si="3"/>
        <v>0</v>
      </c>
    </row>
    <row r="958">
      <c r="A958" s="7">
        <v>43921.1174805787</v>
      </c>
      <c r="B958" s="18" t="s">
        <v>18</v>
      </c>
      <c r="C958" s="19">
        <v>723.0</v>
      </c>
      <c r="D958" s="18" t="s">
        <v>3277</v>
      </c>
      <c r="E958" s="18" t="s">
        <v>3278</v>
      </c>
      <c r="F958" s="18" t="s">
        <v>3266</v>
      </c>
      <c r="G958" s="19">
        <v>82633.0</v>
      </c>
      <c r="H958" s="21" t="s">
        <v>1173</v>
      </c>
      <c r="I958" s="21" t="s">
        <v>39</v>
      </c>
      <c r="J958" s="11">
        <v>0.0</v>
      </c>
      <c r="K958" s="21" t="s">
        <v>25</v>
      </c>
      <c r="L958" s="25">
        <v>40544.0</v>
      </c>
      <c r="M958" s="24" t="s">
        <v>3279</v>
      </c>
      <c r="N958" s="27" t="s">
        <v>3280</v>
      </c>
      <c r="O958" s="15">
        <f t="shared" si="1"/>
        <v>2011</v>
      </c>
      <c r="P958" s="16" t="str">
        <f t="shared" si="2"/>
        <v>USD</v>
      </c>
      <c r="Q958" s="15">
        <f>IFERROR(__xludf.DUMMYFUNCTION("IFNA(INDEX(GOOGLEFINANCE(""Currency:USD""&amp;$P958,""price"",DATE(YEAR($L958),MONTH($L958),DAY($L958))),2,2),LOOKUP(P958,CurrencyCodes,UnitsPerUSD))"),1.0)</f>
        <v>1</v>
      </c>
      <c r="R958" s="17">
        <f t="shared" si="3"/>
        <v>0</v>
      </c>
    </row>
    <row r="959">
      <c r="A959" s="7">
        <v>43921.34278828704</v>
      </c>
      <c r="B959" s="18" t="s">
        <v>18</v>
      </c>
      <c r="C959" s="19">
        <v>2200.0</v>
      </c>
      <c r="D959" s="18" t="s">
        <v>3281</v>
      </c>
      <c r="E959" s="18" t="s">
        <v>3282</v>
      </c>
      <c r="F959" s="18" t="s">
        <v>3266</v>
      </c>
      <c r="G959" s="19">
        <v>82716.0</v>
      </c>
      <c r="H959" s="21" t="s">
        <v>1173</v>
      </c>
      <c r="I959" s="21" t="s">
        <v>39</v>
      </c>
      <c r="J959" s="11">
        <v>0.0</v>
      </c>
      <c r="K959" s="21" t="s">
        <v>25</v>
      </c>
      <c r="L959" s="25">
        <v>40909.0</v>
      </c>
      <c r="M959" s="24" t="s">
        <v>3283</v>
      </c>
      <c r="N959" s="12" t="s">
        <v>3284</v>
      </c>
      <c r="O959" s="15">
        <f t="shared" si="1"/>
        <v>2012</v>
      </c>
      <c r="P959" s="16" t="str">
        <f t="shared" si="2"/>
        <v>USD</v>
      </c>
      <c r="Q959" s="15">
        <f>IFERROR(__xludf.DUMMYFUNCTION("IFNA(INDEX(GOOGLEFINANCE(""Currency:USD""&amp;$P959,""price"",DATE(YEAR($L959),MONTH($L959),DAY($L959))),2,2),LOOKUP(P959,CurrencyCodes,UnitsPerUSD))"),1.0)</f>
        <v>1</v>
      </c>
      <c r="R959" s="17">
        <f t="shared" si="3"/>
        <v>0</v>
      </c>
    </row>
    <row r="960">
      <c r="A960" s="7">
        <v>43921.35745142361</v>
      </c>
      <c r="B960" s="18" t="s">
        <v>18</v>
      </c>
      <c r="C960" s="9">
        <v>2180.0</v>
      </c>
      <c r="D960" s="8" t="s">
        <v>3285</v>
      </c>
      <c r="E960" s="18" t="s">
        <v>3286</v>
      </c>
      <c r="F960" s="18" t="s">
        <v>3266</v>
      </c>
      <c r="G960" s="9">
        <v>82935.0</v>
      </c>
      <c r="H960" s="21" t="s">
        <v>1173</v>
      </c>
      <c r="I960" s="21" t="s">
        <v>24</v>
      </c>
      <c r="J960" s="11">
        <v>565000.0</v>
      </c>
      <c r="K960" s="21" t="s">
        <v>25</v>
      </c>
      <c r="L960" s="25">
        <v>43899.0</v>
      </c>
      <c r="M960" s="14" t="s">
        <v>3287</v>
      </c>
      <c r="N960" s="21"/>
      <c r="O960" s="15">
        <f t="shared" si="1"/>
        <v>2020</v>
      </c>
      <c r="P960" s="16" t="str">
        <f t="shared" si="2"/>
        <v>USD</v>
      </c>
      <c r="Q960" s="15">
        <f>IFERROR(__xludf.DUMMYFUNCTION("IFNA(INDEX(GOOGLEFINANCE(""Currency:USD""&amp;$P960,""price"",DATE(YEAR($L960),MONTH($L960),DAY($L960))),2,2),LOOKUP(P960,CurrencyCodes,UnitsPerUSD))"),1.0)</f>
        <v>1</v>
      </c>
      <c r="R960" s="17">
        <f t="shared" si="3"/>
        <v>565000</v>
      </c>
    </row>
    <row r="961">
      <c r="A961" s="7">
        <v>43921.083728275466</v>
      </c>
      <c r="B961" s="18" t="s">
        <v>18</v>
      </c>
      <c r="C961" s="19">
        <v>507.0</v>
      </c>
      <c r="D961" s="18" t="s">
        <v>3288</v>
      </c>
      <c r="E961" s="18" t="s">
        <v>3289</v>
      </c>
      <c r="F961" s="18" t="s">
        <v>3266</v>
      </c>
      <c r="G961" s="9">
        <v>82072.0</v>
      </c>
      <c r="H961" s="21" t="s">
        <v>1173</v>
      </c>
      <c r="I961" s="21" t="s">
        <v>39</v>
      </c>
      <c r="J961" s="11">
        <v>0.0</v>
      </c>
      <c r="K961" s="21" t="s">
        <v>25</v>
      </c>
      <c r="L961" s="25">
        <v>42171.0</v>
      </c>
      <c r="M961" s="24" t="s">
        <v>3290</v>
      </c>
      <c r="N961" s="10" t="s">
        <v>3291</v>
      </c>
      <c r="O961" s="15">
        <f t="shared" si="1"/>
        <v>2015</v>
      </c>
      <c r="P961" s="16" t="str">
        <f t="shared" si="2"/>
        <v>USD</v>
      </c>
      <c r="Q961" s="15">
        <f>IFERROR(__xludf.DUMMYFUNCTION("IFNA(INDEX(GOOGLEFINANCE(""Currency:USD""&amp;$P961,""price"",DATE(YEAR($L961),MONTH($L961),DAY($L961))),2,2),LOOKUP(P961,CurrencyCodes,UnitsPerUSD))"),1.0)</f>
        <v>1</v>
      </c>
      <c r="R961" s="17">
        <f t="shared" si="3"/>
        <v>0</v>
      </c>
    </row>
    <row r="962">
      <c r="A962" s="7">
        <v>43921.35784813657</v>
      </c>
      <c r="B962" s="18" t="s">
        <v>18</v>
      </c>
      <c r="C962" s="9">
        <v>576.0</v>
      </c>
      <c r="D962" s="18" t="s">
        <v>3292</v>
      </c>
      <c r="E962" s="18" t="s">
        <v>3293</v>
      </c>
      <c r="F962" s="8" t="s">
        <v>3266</v>
      </c>
      <c r="G962" s="9">
        <v>82435.0</v>
      </c>
      <c r="H962" s="21" t="s">
        <v>1173</v>
      </c>
      <c r="I962" s="21" t="s">
        <v>39</v>
      </c>
      <c r="J962" s="11">
        <v>0.0</v>
      </c>
      <c r="K962" s="27" t="s">
        <v>25</v>
      </c>
      <c r="L962" s="13"/>
      <c r="M962" s="24" t="s">
        <v>3294</v>
      </c>
      <c r="N962" s="21" t="s">
        <v>3295</v>
      </c>
      <c r="O962" s="15" t="str">
        <f t="shared" si="1"/>
        <v>Unknown</v>
      </c>
      <c r="P962" s="16" t="str">
        <f t="shared" si="2"/>
        <v>USD</v>
      </c>
      <c r="Q962" s="15">
        <f>IFERROR(__xludf.DUMMYFUNCTION("IFNA(INDEX(GOOGLEFINANCE(""Currency:USD""&amp;$P962,""price"",DATE(YEAR($L962),MONTH($L962),DAY($L962))),2,2),LOOKUP(P962,CurrencyCodes,UnitsPerUSD))"),1.0)</f>
        <v>1</v>
      </c>
      <c r="R962" s="17">
        <f t="shared" si="3"/>
        <v>0</v>
      </c>
    </row>
    <row r="963">
      <c r="A963" s="7">
        <v>43921.35672418981</v>
      </c>
      <c r="B963" s="18" t="s">
        <v>18</v>
      </c>
      <c r="C963" s="19">
        <v>856.0</v>
      </c>
      <c r="D963" s="26" t="s">
        <v>3296</v>
      </c>
      <c r="E963" s="18" t="s">
        <v>3293</v>
      </c>
      <c r="F963" s="18" t="s">
        <v>3266</v>
      </c>
      <c r="G963" s="19">
        <v>82435.0</v>
      </c>
      <c r="H963" s="21" t="s">
        <v>1173</v>
      </c>
      <c r="I963" s="21" t="s">
        <v>39</v>
      </c>
      <c r="J963" s="11">
        <v>338491.0</v>
      </c>
      <c r="K963" s="27" t="s">
        <v>25</v>
      </c>
      <c r="L963" s="22"/>
      <c r="M963" s="24" t="s">
        <v>3297</v>
      </c>
      <c r="N963" s="12" t="s">
        <v>3298</v>
      </c>
      <c r="O963" s="15" t="str">
        <f t="shared" si="1"/>
        <v>Unknown</v>
      </c>
      <c r="P963" s="16" t="str">
        <f t="shared" si="2"/>
        <v>USD</v>
      </c>
      <c r="Q963" s="15">
        <f>IFERROR(__xludf.DUMMYFUNCTION("IFNA(INDEX(GOOGLEFINANCE(""Currency:USD""&amp;$P963,""price"",DATE(YEAR($L963),MONTH($L963),DAY($L963))),2,2),LOOKUP(P963,CurrencyCodes,UnitsPerUSD))"),1.0)</f>
        <v>1</v>
      </c>
      <c r="R963" s="17">
        <f t="shared" si="3"/>
        <v>338491</v>
      </c>
    </row>
    <row r="964">
      <c r="A964" s="38"/>
      <c r="B964" s="8"/>
      <c r="C964" s="9"/>
      <c r="D964" s="8"/>
      <c r="E964" s="8"/>
      <c r="F964" s="8"/>
      <c r="G964" s="9"/>
      <c r="H964" s="8"/>
      <c r="I964" s="8"/>
      <c r="J964" s="11"/>
      <c r="K964" s="39"/>
      <c r="L964" s="40"/>
      <c r="M964" s="28"/>
      <c r="N964" s="10"/>
      <c r="O964" s="15"/>
      <c r="P964" s="16"/>
      <c r="Q964" s="15"/>
      <c r="R964" s="17"/>
    </row>
    <row r="965">
      <c r="A965" s="38"/>
      <c r="B965" s="8"/>
      <c r="C965" s="9"/>
      <c r="D965" s="8"/>
      <c r="E965" s="8"/>
      <c r="F965" s="8"/>
      <c r="G965" s="9"/>
      <c r="H965" s="8"/>
      <c r="I965" s="8"/>
      <c r="J965" s="11"/>
      <c r="K965" s="39"/>
      <c r="L965" s="40"/>
      <c r="M965" s="28"/>
      <c r="N965" s="10"/>
      <c r="O965" s="15"/>
      <c r="P965" s="16"/>
      <c r="Q965" s="15"/>
      <c r="R965" s="17"/>
    </row>
    <row r="966">
      <c r="A966" s="38"/>
      <c r="B966" s="8"/>
      <c r="C966" s="9"/>
      <c r="D966" s="8"/>
      <c r="E966" s="8"/>
      <c r="F966" s="8"/>
      <c r="G966" s="9"/>
      <c r="H966" s="8"/>
      <c r="I966" s="8"/>
      <c r="J966" s="11"/>
      <c r="K966" s="39"/>
      <c r="L966" s="40"/>
      <c r="M966" s="28"/>
      <c r="N966" s="10"/>
      <c r="O966" s="15"/>
      <c r="P966" s="16"/>
      <c r="Q966" s="15"/>
      <c r="R966" s="17"/>
    </row>
    <row r="967">
      <c r="A967" s="38"/>
      <c r="B967" s="8"/>
      <c r="C967" s="9"/>
      <c r="D967" s="8"/>
      <c r="E967" s="8"/>
      <c r="F967" s="8"/>
      <c r="G967" s="9"/>
      <c r="H967" s="8"/>
      <c r="I967" s="8"/>
      <c r="J967" s="11"/>
      <c r="K967" s="39"/>
      <c r="L967" s="40"/>
      <c r="M967" s="28"/>
      <c r="N967" s="10"/>
      <c r="O967" s="15"/>
      <c r="P967" s="16"/>
      <c r="Q967" s="15"/>
      <c r="R967" s="17"/>
    </row>
    <row r="968">
      <c r="A968" s="38"/>
      <c r="B968" s="8"/>
      <c r="C968" s="9"/>
      <c r="D968" s="8"/>
      <c r="E968" s="8"/>
      <c r="F968" s="8"/>
      <c r="G968" s="9"/>
      <c r="H968" s="8"/>
      <c r="I968" s="8"/>
      <c r="J968" s="11"/>
      <c r="K968" s="39"/>
      <c r="L968" s="40"/>
      <c r="M968" s="28"/>
      <c r="N968" s="10"/>
      <c r="O968" s="15"/>
      <c r="P968" s="16"/>
      <c r="Q968" s="15"/>
      <c r="R968" s="17"/>
    </row>
    <row r="969">
      <c r="A969" s="38"/>
      <c r="B969" s="8"/>
      <c r="C969" s="9"/>
      <c r="D969" s="8"/>
      <c r="E969" s="8"/>
      <c r="F969" s="8"/>
      <c r="G969" s="9"/>
      <c r="H969" s="8"/>
      <c r="I969" s="8"/>
      <c r="J969" s="11"/>
      <c r="K969" s="39"/>
      <c r="L969" s="40"/>
      <c r="M969" s="28"/>
      <c r="N969" s="10"/>
      <c r="O969" s="15"/>
      <c r="P969" s="16"/>
      <c r="Q969" s="15"/>
      <c r="R969" s="17"/>
    </row>
    <row r="970">
      <c r="A970" s="38"/>
      <c r="B970" s="8"/>
      <c r="C970" s="9"/>
      <c r="D970" s="8"/>
      <c r="E970" s="8"/>
      <c r="F970" s="8"/>
      <c r="G970" s="9"/>
      <c r="H970" s="8"/>
      <c r="I970" s="8"/>
      <c r="J970" s="11"/>
      <c r="K970" s="39"/>
      <c r="L970" s="40"/>
      <c r="M970" s="28"/>
      <c r="N970" s="10"/>
      <c r="O970" s="15"/>
      <c r="P970" s="16"/>
      <c r="Q970" s="15"/>
      <c r="R970" s="17"/>
    </row>
    <row r="971">
      <c r="A971" s="38"/>
      <c r="B971" s="8"/>
      <c r="C971" s="9"/>
      <c r="D971" s="8"/>
      <c r="E971" s="8"/>
      <c r="F971" s="8"/>
      <c r="G971" s="9"/>
      <c r="H971" s="8"/>
      <c r="I971" s="8"/>
      <c r="J971" s="11"/>
      <c r="K971" s="39"/>
      <c r="L971" s="40"/>
      <c r="M971" s="28"/>
      <c r="N971" s="10"/>
      <c r="O971" s="15"/>
      <c r="P971" s="16"/>
      <c r="Q971" s="15"/>
      <c r="R971" s="17"/>
    </row>
    <row r="972">
      <c r="A972" s="38"/>
      <c r="B972" s="8"/>
      <c r="C972" s="9"/>
      <c r="D972" s="8"/>
      <c r="E972" s="8"/>
      <c r="F972" s="8"/>
      <c r="G972" s="9"/>
      <c r="H972" s="8"/>
      <c r="I972" s="8"/>
      <c r="J972" s="11"/>
      <c r="K972" s="39"/>
      <c r="L972" s="40"/>
      <c r="M972" s="28"/>
      <c r="N972" s="10"/>
      <c r="O972" s="15"/>
      <c r="P972" s="16"/>
      <c r="Q972" s="15"/>
      <c r="R972" s="17"/>
    </row>
    <row r="973">
      <c r="A973" s="38"/>
      <c r="B973" s="8"/>
      <c r="C973" s="9"/>
      <c r="D973" s="8"/>
      <c r="E973" s="8"/>
      <c r="F973" s="8"/>
      <c r="G973" s="9"/>
      <c r="H973" s="8"/>
      <c r="I973" s="8"/>
      <c r="J973" s="11"/>
      <c r="K973" s="39"/>
      <c r="L973" s="40"/>
      <c r="M973" s="28"/>
      <c r="N973" s="10"/>
      <c r="O973" s="15"/>
      <c r="P973" s="16"/>
      <c r="Q973" s="15"/>
      <c r="R973" s="17"/>
    </row>
    <row r="974">
      <c r="A974" s="38"/>
      <c r="B974" s="8"/>
      <c r="C974" s="9"/>
      <c r="D974" s="8"/>
      <c r="E974" s="8"/>
      <c r="F974" s="8"/>
      <c r="G974" s="9"/>
      <c r="H974" s="8"/>
      <c r="I974" s="8"/>
      <c r="J974" s="11"/>
      <c r="K974" s="39"/>
      <c r="L974" s="40"/>
      <c r="M974" s="28"/>
      <c r="N974" s="10"/>
      <c r="O974" s="15"/>
      <c r="P974" s="16"/>
      <c r="Q974" s="15"/>
      <c r="R974" s="17"/>
    </row>
    <row r="975">
      <c r="A975" s="38"/>
      <c r="B975" s="8"/>
      <c r="C975" s="9"/>
      <c r="D975" s="8"/>
      <c r="E975" s="8"/>
      <c r="F975" s="8"/>
      <c r="G975" s="9"/>
      <c r="H975" s="8"/>
      <c r="I975" s="8"/>
      <c r="J975" s="11"/>
      <c r="K975" s="39"/>
      <c r="L975" s="40"/>
      <c r="M975" s="28"/>
      <c r="N975" s="10"/>
      <c r="O975" s="15"/>
      <c r="P975" s="16"/>
      <c r="Q975" s="15"/>
      <c r="R975" s="17"/>
    </row>
    <row r="976">
      <c r="A976" s="38"/>
      <c r="B976" s="8"/>
      <c r="C976" s="9"/>
      <c r="D976" s="8"/>
      <c r="E976" s="8"/>
      <c r="F976" s="8"/>
      <c r="G976" s="9"/>
      <c r="H976" s="8"/>
      <c r="I976" s="8"/>
      <c r="J976" s="11"/>
      <c r="K976" s="39"/>
      <c r="L976" s="40"/>
      <c r="M976" s="28"/>
      <c r="N976" s="10"/>
      <c r="O976" s="15"/>
      <c r="P976" s="16"/>
      <c r="Q976" s="15"/>
      <c r="R976" s="17"/>
    </row>
    <row r="977">
      <c r="A977" s="38"/>
      <c r="B977" s="8"/>
      <c r="C977" s="9"/>
      <c r="D977" s="8"/>
      <c r="E977" s="8"/>
      <c r="F977" s="8"/>
      <c r="G977" s="9"/>
      <c r="H977" s="8"/>
      <c r="I977" s="8"/>
      <c r="J977" s="11"/>
      <c r="K977" s="39"/>
      <c r="L977" s="40"/>
      <c r="M977" s="28"/>
      <c r="N977" s="10"/>
      <c r="O977" s="15"/>
      <c r="P977" s="16"/>
      <c r="Q977" s="15"/>
      <c r="R977" s="17"/>
    </row>
    <row r="978">
      <c r="A978" s="38"/>
      <c r="B978" s="8"/>
      <c r="C978" s="9"/>
      <c r="D978" s="8"/>
      <c r="E978" s="8"/>
      <c r="F978" s="8"/>
      <c r="G978" s="9"/>
      <c r="H978" s="8"/>
      <c r="I978" s="8"/>
      <c r="J978" s="11"/>
      <c r="K978" s="39"/>
      <c r="L978" s="40"/>
      <c r="M978" s="28"/>
      <c r="N978" s="10"/>
      <c r="O978" s="15"/>
      <c r="P978" s="16"/>
      <c r="Q978" s="15"/>
      <c r="R978" s="17"/>
    </row>
    <row r="979">
      <c r="A979" s="38"/>
      <c r="B979" s="8"/>
      <c r="C979" s="9"/>
      <c r="D979" s="8"/>
      <c r="E979" s="8"/>
      <c r="F979" s="8"/>
      <c r="G979" s="9"/>
      <c r="H979" s="8"/>
      <c r="I979" s="8"/>
      <c r="J979" s="11"/>
      <c r="K979" s="39"/>
      <c r="L979" s="40"/>
      <c r="M979" s="28"/>
      <c r="N979" s="10"/>
      <c r="O979" s="15"/>
      <c r="P979" s="16"/>
      <c r="Q979" s="15"/>
      <c r="R979" s="17"/>
    </row>
    <row r="980">
      <c r="A980" s="38"/>
      <c r="B980" s="8"/>
      <c r="C980" s="9"/>
      <c r="D980" s="8"/>
      <c r="E980" s="8"/>
      <c r="F980" s="8"/>
      <c r="G980" s="9"/>
      <c r="H980" s="8"/>
      <c r="I980" s="8"/>
      <c r="J980" s="11"/>
      <c r="K980" s="39"/>
      <c r="L980" s="40"/>
      <c r="M980" s="28"/>
      <c r="N980" s="10"/>
      <c r="O980" s="15"/>
      <c r="P980" s="16"/>
      <c r="Q980" s="15"/>
      <c r="R980" s="17"/>
    </row>
    <row r="981">
      <c r="A981" s="38"/>
      <c r="B981" s="8"/>
      <c r="C981" s="9"/>
      <c r="D981" s="8"/>
      <c r="E981" s="8"/>
      <c r="F981" s="8"/>
      <c r="G981" s="9"/>
      <c r="H981" s="8"/>
      <c r="I981" s="8"/>
      <c r="J981" s="11"/>
      <c r="K981" s="39"/>
      <c r="L981" s="40"/>
      <c r="M981" s="28"/>
      <c r="N981" s="10"/>
      <c r="O981" s="15"/>
      <c r="P981" s="16"/>
      <c r="Q981" s="15"/>
      <c r="R981" s="17"/>
    </row>
    <row r="982">
      <c r="A982" s="38"/>
      <c r="B982" s="8"/>
      <c r="C982" s="9"/>
      <c r="D982" s="8"/>
      <c r="E982" s="8"/>
      <c r="F982" s="8"/>
      <c r="G982" s="9"/>
      <c r="H982" s="8"/>
      <c r="I982" s="8"/>
      <c r="J982" s="11"/>
      <c r="K982" s="39"/>
      <c r="L982" s="40"/>
      <c r="M982" s="28"/>
      <c r="N982" s="10"/>
      <c r="O982" s="15"/>
      <c r="P982" s="16"/>
      <c r="Q982" s="15"/>
      <c r="R982" s="17"/>
    </row>
    <row r="983">
      <c r="A983" s="38"/>
      <c r="B983" s="8"/>
      <c r="C983" s="9"/>
      <c r="D983" s="8"/>
      <c r="E983" s="8"/>
      <c r="F983" s="8"/>
      <c r="G983" s="9"/>
      <c r="H983" s="8"/>
      <c r="I983" s="8"/>
      <c r="J983" s="11"/>
      <c r="K983" s="39"/>
      <c r="L983" s="40"/>
      <c r="M983" s="28"/>
      <c r="N983" s="10"/>
      <c r="O983" s="15"/>
      <c r="P983" s="16"/>
      <c r="Q983" s="15"/>
      <c r="R983" s="17"/>
    </row>
    <row r="984">
      <c r="A984" s="38"/>
      <c r="B984" s="8"/>
      <c r="C984" s="9"/>
      <c r="D984" s="8"/>
      <c r="E984" s="8"/>
      <c r="F984" s="8"/>
      <c r="G984" s="9"/>
      <c r="H984" s="8"/>
      <c r="I984" s="8"/>
      <c r="J984" s="11"/>
      <c r="K984" s="39"/>
      <c r="L984" s="40"/>
      <c r="M984" s="28"/>
      <c r="N984" s="10"/>
      <c r="O984" s="15"/>
      <c r="P984" s="16"/>
      <c r="Q984" s="15"/>
      <c r="R984" s="17"/>
    </row>
    <row r="985">
      <c r="A985" s="38"/>
      <c r="B985" s="8"/>
      <c r="C985" s="9"/>
      <c r="D985" s="8"/>
      <c r="E985" s="8"/>
      <c r="F985" s="8"/>
      <c r="G985" s="9"/>
      <c r="H985" s="8"/>
      <c r="I985" s="8"/>
      <c r="J985" s="11"/>
      <c r="K985" s="39"/>
      <c r="L985" s="40"/>
      <c r="M985" s="28"/>
      <c r="N985" s="10"/>
      <c r="O985" s="15"/>
      <c r="P985" s="16"/>
      <c r="Q985" s="15"/>
      <c r="R985" s="17"/>
    </row>
    <row r="986">
      <c r="A986" s="38"/>
      <c r="B986" s="8"/>
      <c r="C986" s="9"/>
      <c r="D986" s="8"/>
      <c r="E986" s="8"/>
      <c r="F986" s="8"/>
      <c r="G986" s="9"/>
      <c r="H986" s="8"/>
      <c r="I986" s="8"/>
      <c r="J986" s="11"/>
      <c r="K986" s="39"/>
      <c r="L986" s="40"/>
      <c r="M986" s="28"/>
      <c r="N986" s="10"/>
      <c r="O986" s="15"/>
      <c r="P986" s="16"/>
      <c r="Q986" s="15"/>
      <c r="R986" s="17"/>
    </row>
    <row r="987">
      <c r="A987" s="38"/>
      <c r="B987" s="8"/>
      <c r="C987" s="9"/>
      <c r="D987" s="8"/>
      <c r="E987" s="8"/>
      <c r="F987" s="8"/>
      <c r="G987" s="9"/>
      <c r="H987" s="8"/>
      <c r="I987" s="8"/>
      <c r="J987" s="11"/>
      <c r="K987" s="39"/>
      <c r="L987" s="40"/>
      <c r="M987" s="28"/>
      <c r="N987" s="10"/>
      <c r="O987" s="15"/>
      <c r="P987" s="16"/>
      <c r="Q987" s="15"/>
      <c r="R987" s="17"/>
    </row>
    <row r="988">
      <c r="A988" s="38"/>
      <c r="B988" s="8"/>
      <c r="C988" s="9"/>
      <c r="D988" s="8"/>
      <c r="E988" s="8"/>
      <c r="F988" s="8"/>
      <c r="G988" s="9"/>
      <c r="H988" s="8"/>
      <c r="I988" s="8"/>
      <c r="J988" s="11"/>
      <c r="K988" s="39"/>
      <c r="L988" s="40"/>
      <c r="M988" s="28"/>
      <c r="N988" s="10"/>
      <c r="O988" s="15"/>
      <c r="P988" s="16"/>
      <c r="Q988" s="15"/>
      <c r="R988" s="17"/>
    </row>
    <row r="989">
      <c r="A989" s="38"/>
      <c r="B989" s="8"/>
      <c r="C989" s="9"/>
      <c r="D989" s="8"/>
      <c r="E989" s="8"/>
      <c r="F989" s="8"/>
      <c r="G989" s="9"/>
      <c r="H989" s="8"/>
      <c r="I989" s="8"/>
      <c r="J989" s="11"/>
      <c r="K989" s="39"/>
      <c r="L989" s="40"/>
      <c r="M989" s="28"/>
      <c r="N989" s="10"/>
      <c r="O989" s="15"/>
      <c r="P989" s="16"/>
      <c r="Q989" s="15"/>
      <c r="R989" s="17"/>
    </row>
    <row r="990">
      <c r="A990" s="38"/>
      <c r="B990" s="8"/>
      <c r="C990" s="9"/>
      <c r="D990" s="8"/>
      <c r="E990" s="8"/>
      <c r="F990" s="8"/>
      <c r="G990" s="9"/>
      <c r="H990" s="8"/>
      <c r="I990" s="8"/>
      <c r="J990" s="11"/>
      <c r="K990" s="39"/>
      <c r="L990" s="40"/>
      <c r="M990" s="28"/>
      <c r="N990" s="10"/>
      <c r="O990" s="15"/>
      <c r="P990" s="16"/>
      <c r="Q990" s="15"/>
      <c r="R990" s="17"/>
    </row>
    <row r="991">
      <c r="A991" s="38"/>
      <c r="B991" s="8"/>
      <c r="C991" s="9"/>
      <c r="D991" s="8"/>
      <c r="E991" s="8"/>
      <c r="F991" s="8"/>
      <c r="G991" s="9"/>
      <c r="H991" s="8"/>
      <c r="I991" s="8"/>
      <c r="J991" s="11"/>
      <c r="K991" s="39"/>
      <c r="L991" s="40"/>
      <c r="M991" s="28"/>
      <c r="N991" s="10"/>
      <c r="O991" s="15"/>
      <c r="P991" s="16"/>
      <c r="Q991" s="15"/>
      <c r="R991" s="17"/>
    </row>
    <row r="992">
      <c r="A992" s="38"/>
      <c r="B992" s="8"/>
      <c r="C992" s="9"/>
      <c r="D992" s="8"/>
      <c r="E992" s="8"/>
      <c r="F992" s="8"/>
      <c r="G992" s="9"/>
      <c r="H992" s="8"/>
      <c r="I992" s="8"/>
      <c r="J992" s="11"/>
      <c r="K992" s="39"/>
      <c r="L992" s="40"/>
      <c r="M992" s="28"/>
      <c r="N992" s="10"/>
      <c r="O992" s="15"/>
      <c r="P992" s="16"/>
      <c r="Q992" s="15"/>
      <c r="R992" s="17"/>
    </row>
    <row r="993">
      <c r="A993" s="38"/>
      <c r="B993" s="8"/>
      <c r="C993" s="9"/>
      <c r="D993" s="8"/>
      <c r="E993" s="8"/>
      <c r="F993" s="8"/>
      <c r="G993" s="9"/>
      <c r="H993" s="8"/>
      <c r="I993" s="8"/>
      <c r="J993" s="11"/>
      <c r="K993" s="39"/>
      <c r="L993" s="40"/>
      <c r="M993" s="28"/>
      <c r="N993" s="10"/>
      <c r="O993" s="15"/>
      <c r="P993" s="16"/>
      <c r="Q993" s="15"/>
      <c r="R993" s="17"/>
    </row>
    <row r="994">
      <c r="A994" s="38"/>
      <c r="B994" s="8"/>
      <c r="C994" s="9"/>
      <c r="D994" s="8"/>
      <c r="E994" s="8"/>
      <c r="F994" s="8"/>
      <c r="G994" s="9"/>
      <c r="H994" s="8"/>
      <c r="I994" s="8"/>
      <c r="J994" s="11"/>
      <c r="K994" s="39"/>
      <c r="L994" s="40"/>
      <c r="M994" s="28"/>
      <c r="N994" s="10"/>
      <c r="O994" s="15"/>
      <c r="P994" s="16"/>
      <c r="Q994" s="15"/>
      <c r="R994" s="17"/>
    </row>
    <row r="995">
      <c r="A995" s="38"/>
      <c r="B995" s="8"/>
      <c r="C995" s="9"/>
      <c r="D995" s="8"/>
      <c r="E995" s="8"/>
      <c r="F995" s="8"/>
      <c r="G995" s="9"/>
      <c r="H995" s="8"/>
      <c r="I995" s="8"/>
      <c r="J995" s="11"/>
      <c r="K995" s="39"/>
      <c r="L995" s="40"/>
      <c r="M995" s="28"/>
      <c r="N995" s="10"/>
      <c r="O995" s="15"/>
      <c r="P995" s="16"/>
      <c r="Q995" s="15"/>
      <c r="R995" s="17"/>
    </row>
    <row r="996">
      <c r="A996" s="38"/>
      <c r="B996" s="8"/>
      <c r="C996" s="9"/>
      <c r="D996" s="8"/>
      <c r="E996" s="8"/>
      <c r="F996" s="8"/>
      <c r="G996" s="9"/>
      <c r="H996" s="8"/>
      <c r="I996" s="8"/>
      <c r="J996" s="11"/>
      <c r="K996" s="39"/>
      <c r="L996" s="40"/>
      <c r="M996" s="28"/>
      <c r="N996" s="10"/>
      <c r="O996" s="15"/>
      <c r="P996" s="16"/>
      <c r="Q996" s="15"/>
      <c r="R996" s="17"/>
    </row>
    <row r="997">
      <c r="A997" s="38"/>
      <c r="B997" s="8"/>
      <c r="C997" s="9"/>
      <c r="D997" s="8"/>
      <c r="E997" s="8"/>
      <c r="F997" s="8"/>
      <c r="G997" s="9"/>
      <c r="H997" s="8"/>
      <c r="I997" s="8"/>
      <c r="J997" s="11"/>
      <c r="K997" s="39"/>
      <c r="L997" s="40"/>
      <c r="M997" s="28"/>
      <c r="N997" s="10"/>
      <c r="O997" s="15"/>
      <c r="P997" s="16"/>
      <c r="Q997" s="15"/>
      <c r="R997" s="17"/>
    </row>
    <row r="998">
      <c r="A998" s="38"/>
      <c r="B998" s="8"/>
      <c r="C998" s="9"/>
      <c r="D998" s="8"/>
      <c r="E998" s="8"/>
      <c r="F998" s="8"/>
      <c r="G998" s="9"/>
      <c r="H998" s="8"/>
      <c r="I998" s="8"/>
      <c r="J998" s="11"/>
      <c r="K998" s="39"/>
      <c r="L998" s="40"/>
      <c r="M998" s="28"/>
      <c r="N998" s="10"/>
      <c r="O998" s="15"/>
      <c r="P998" s="16"/>
      <c r="Q998" s="15"/>
      <c r="R998" s="17"/>
    </row>
    <row r="999">
      <c r="A999" s="38"/>
      <c r="B999" s="8"/>
      <c r="C999" s="9"/>
      <c r="D999" s="8"/>
      <c r="E999" s="8"/>
      <c r="F999" s="8"/>
      <c r="G999" s="9"/>
      <c r="H999" s="8"/>
      <c r="I999" s="8"/>
      <c r="J999" s="11"/>
      <c r="K999" s="39"/>
      <c r="L999" s="40"/>
      <c r="M999" s="28"/>
      <c r="N999" s="10"/>
      <c r="O999" s="15"/>
      <c r="P999" s="16"/>
      <c r="Q999" s="15"/>
      <c r="R999" s="17"/>
    </row>
    <row r="1000">
      <c r="A1000" s="38"/>
      <c r="B1000" s="8"/>
      <c r="C1000" s="9"/>
      <c r="D1000" s="8"/>
      <c r="E1000" s="8"/>
      <c r="F1000" s="8"/>
      <c r="G1000" s="9"/>
      <c r="H1000" s="8"/>
      <c r="I1000" s="8"/>
      <c r="J1000" s="11"/>
      <c r="K1000" s="39"/>
      <c r="L1000" s="40"/>
      <c r="M1000" s="28"/>
      <c r="N1000" s="10"/>
      <c r="O1000" s="15"/>
      <c r="P1000" s="16"/>
      <c r="Q1000" s="15"/>
      <c r="R1000" s="17"/>
    </row>
    <row r="1001">
      <c r="A1001" s="38"/>
      <c r="B1001" s="8"/>
      <c r="C1001" s="9"/>
      <c r="D1001" s="8"/>
      <c r="E1001" s="8"/>
      <c r="F1001" s="8"/>
      <c r="G1001" s="9"/>
      <c r="H1001" s="8"/>
      <c r="I1001" s="8"/>
      <c r="J1001" s="11"/>
      <c r="K1001" s="39"/>
      <c r="L1001" s="40"/>
      <c r="M1001" s="28"/>
      <c r="N1001" s="10"/>
      <c r="O1001" s="15"/>
      <c r="P1001" s="16"/>
      <c r="Q1001" s="15"/>
      <c r="R1001" s="17"/>
    </row>
    <row r="1002">
      <c r="A1002" s="38"/>
      <c r="B1002" s="8"/>
      <c r="C1002" s="9"/>
      <c r="D1002" s="8"/>
      <c r="E1002" s="8"/>
      <c r="F1002" s="8"/>
      <c r="G1002" s="9"/>
      <c r="H1002" s="8"/>
      <c r="I1002" s="8"/>
      <c r="J1002" s="11"/>
      <c r="K1002" s="39"/>
      <c r="L1002" s="40"/>
      <c r="M1002" s="28"/>
      <c r="N1002" s="10"/>
      <c r="O1002" s="15"/>
      <c r="P1002" s="16"/>
      <c r="Q1002" s="15"/>
      <c r="R1002" s="17"/>
    </row>
    <row r="1003">
      <c r="A1003" s="38"/>
      <c r="B1003" s="8"/>
      <c r="C1003" s="9"/>
      <c r="D1003" s="8"/>
      <c r="E1003" s="8"/>
      <c r="F1003" s="8"/>
      <c r="G1003" s="9"/>
      <c r="H1003" s="8"/>
      <c r="I1003" s="8"/>
      <c r="J1003" s="11"/>
      <c r="K1003" s="39"/>
      <c r="L1003" s="40"/>
      <c r="M1003" s="28"/>
      <c r="N1003" s="10"/>
      <c r="O1003" s="15"/>
      <c r="P1003" s="16"/>
      <c r="Q1003" s="15"/>
      <c r="R1003" s="17"/>
    </row>
    <row r="1004">
      <c r="A1004" s="38"/>
      <c r="B1004" s="8"/>
      <c r="C1004" s="9"/>
      <c r="D1004" s="8"/>
      <c r="E1004" s="8"/>
      <c r="F1004" s="8"/>
      <c r="G1004" s="9"/>
      <c r="H1004" s="8"/>
      <c r="I1004" s="8"/>
      <c r="J1004" s="11"/>
      <c r="K1004" s="39"/>
      <c r="L1004" s="40"/>
      <c r="M1004" s="28"/>
      <c r="N1004" s="10"/>
      <c r="O1004" s="15"/>
      <c r="P1004" s="16"/>
      <c r="Q1004" s="15"/>
      <c r="R1004" s="17"/>
    </row>
    <row r="1005">
      <c r="A1005" s="38"/>
      <c r="B1005" s="8"/>
      <c r="C1005" s="9"/>
      <c r="D1005" s="8"/>
      <c r="E1005" s="8"/>
      <c r="F1005" s="8"/>
      <c r="G1005" s="9"/>
      <c r="H1005" s="8"/>
      <c r="I1005" s="8"/>
      <c r="J1005" s="11"/>
      <c r="K1005" s="39"/>
      <c r="L1005" s="40"/>
      <c r="M1005" s="28"/>
      <c r="N1005" s="10"/>
      <c r="O1005" s="15"/>
      <c r="P1005" s="16"/>
      <c r="Q1005" s="15"/>
      <c r="R1005" s="17"/>
    </row>
    <row r="1006">
      <c r="A1006" s="38"/>
      <c r="B1006" s="8"/>
      <c r="C1006" s="9"/>
      <c r="D1006" s="8"/>
      <c r="E1006" s="8"/>
      <c r="F1006" s="8"/>
      <c r="G1006" s="9"/>
      <c r="H1006" s="8"/>
      <c r="I1006" s="8"/>
      <c r="J1006" s="11"/>
      <c r="K1006" s="39"/>
      <c r="L1006" s="40"/>
      <c r="M1006" s="28"/>
      <c r="N1006" s="10"/>
      <c r="O1006" s="15"/>
      <c r="P1006" s="16"/>
      <c r="Q1006" s="15"/>
      <c r="R1006" s="17"/>
    </row>
    <row r="1007">
      <c r="A1007" s="38"/>
      <c r="B1007" s="8"/>
      <c r="C1007" s="9"/>
      <c r="D1007" s="8"/>
      <c r="E1007" s="8"/>
      <c r="F1007" s="8"/>
      <c r="G1007" s="9"/>
      <c r="H1007" s="8"/>
      <c r="I1007" s="8"/>
      <c r="J1007" s="11"/>
      <c r="K1007" s="39"/>
      <c r="L1007" s="40"/>
      <c r="M1007" s="28"/>
      <c r="N1007" s="10"/>
      <c r="O1007" s="15"/>
      <c r="P1007" s="16"/>
      <c r="Q1007" s="15"/>
      <c r="R1007" s="17"/>
    </row>
    <row r="1008">
      <c r="A1008" s="38"/>
      <c r="B1008" s="8"/>
      <c r="C1008" s="9"/>
      <c r="D1008" s="8"/>
      <c r="E1008" s="8"/>
      <c r="F1008" s="8"/>
      <c r="G1008" s="9"/>
      <c r="H1008" s="8"/>
      <c r="I1008" s="8"/>
      <c r="J1008" s="11"/>
      <c r="K1008" s="39"/>
      <c r="L1008" s="40"/>
      <c r="M1008" s="28"/>
      <c r="N1008" s="10"/>
      <c r="O1008" s="15"/>
      <c r="P1008" s="16"/>
      <c r="Q1008" s="15"/>
      <c r="R1008" s="17"/>
    </row>
    <row r="1009">
      <c r="A1009" s="38"/>
      <c r="B1009" s="8"/>
      <c r="C1009" s="9"/>
      <c r="D1009" s="8"/>
      <c r="E1009" s="8"/>
      <c r="F1009" s="8"/>
      <c r="G1009" s="9"/>
      <c r="H1009" s="8"/>
      <c r="I1009" s="8"/>
      <c r="J1009" s="11"/>
      <c r="K1009" s="39"/>
      <c r="L1009" s="40"/>
      <c r="M1009" s="28"/>
      <c r="N1009" s="10"/>
      <c r="O1009" s="15"/>
      <c r="P1009" s="16"/>
      <c r="Q1009" s="15"/>
      <c r="R1009" s="17"/>
    </row>
    <row r="1010">
      <c r="A1010" s="38"/>
      <c r="B1010" s="8"/>
      <c r="C1010" s="9"/>
      <c r="D1010" s="8"/>
      <c r="E1010" s="8"/>
      <c r="F1010" s="8"/>
      <c r="G1010" s="9"/>
      <c r="H1010" s="8"/>
      <c r="I1010" s="8"/>
      <c r="J1010" s="11"/>
      <c r="K1010" s="39"/>
      <c r="L1010" s="40"/>
      <c r="M1010" s="28"/>
      <c r="N1010" s="10"/>
      <c r="O1010" s="15"/>
      <c r="P1010" s="16"/>
      <c r="Q1010" s="15"/>
      <c r="R1010" s="17"/>
    </row>
    <row r="1011">
      <c r="A1011" s="38"/>
      <c r="B1011" s="8"/>
      <c r="C1011" s="9"/>
      <c r="D1011" s="8"/>
      <c r="E1011" s="8"/>
      <c r="F1011" s="8"/>
      <c r="G1011" s="9"/>
      <c r="H1011" s="8"/>
      <c r="I1011" s="8"/>
      <c r="J1011" s="11"/>
      <c r="K1011" s="39"/>
      <c r="L1011" s="40"/>
      <c r="M1011" s="28"/>
      <c r="N1011" s="10"/>
      <c r="O1011" s="15"/>
      <c r="P1011" s="16"/>
      <c r="Q1011" s="15"/>
      <c r="R1011" s="17"/>
    </row>
    <row r="1012">
      <c r="A1012" s="38"/>
      <c r="B1012" s="8"/>
      <c r="C1012" s="9"/>
      <c r="D1012" s="8"/>
      <c r="E1012" s="8"/>
      <c r="F1012" s="8"/>
      <c r="G1012" s="9"/>
      <c r="H1012" s="8"/>
      <c r="I1012" s="8"/>
      <c r="J1012" s="11"/>
      <c r="K1012" s="39"/>
      <c r="L1012" s="40"/>
      <c r="M1012" s="28"/>
      <c r="N1012" s="10"/>
      <c r="O1012" s="15"/>
      <c r="P1012" s="16"/>
      <c r="Q1012" s="15"/>
      <c r="R1012" s="17"/>
    </row>
    <row r="1013">
      <c r="A1013" s="38"/>
      <c r="B1013" s="8"/>
      <c r="C1013" s="9"/>
      <c r="D1013" s="8"/>
      <c r="E1013" s="8"/>
      <c r="F1013" s="8"/>
      <c r="G1013" s="9"/>
      <c r="H1013" s="8"/>
      <c r="I1013" s="8"/>
      <c r="J1013" s="11"/>
      <c r="K1013" s="39"/>
      <c r="L1013" s="40"/>
      <c r="M1013" s="28"/>
      <c r="N1013" s="10"/>
      <c r="O1013" s="15"/>
      <c r="P1013" s="16"/>
      <c r="Q1013" s="15"/>
      <c r="R1013" s="17"/>
    </row>
    <row r="1014">
      <c r="A1014" s="38"/>
      <c r="B1014" s="8"/>
      <c r="C1014" s="9"/>
      <c r="D1014" s="8"/>
      <c r="E1014" s="8"/>
      <c r="F1014" s="8"/>
      <c r="G1014" s="9"/>
      <c r="H1014" s="8"/>
      <c r="I1014" s="8"/>
      <c r="J1014" s="11"/>
      <c r="K1014" s="39"/>
      <c r="L1014" s="40"/>
      <c r="M1014" s="28"/>
      <c r="N1014" s="10"/>
      <c r="O1014" s="15"/>
      <c r="P1014" s="16"/>
      <c r="Q1014" s="15"/>
      <c r="R1014" s="17"/>
    </row>
    <row r="1015">
      <c r="A1015" s="38"/>
      <c r="B1015" s="8"/>
      <c r="C1015" s="9"/>
      <c r="D1015" s="8"/>
      <c r="E1015" s="8"/>
      <c r="F1015" s="8"/>
      <c r="G1015" s="9"/>
      <c r="H1015" s="8"/>
      <c r="I1015" s="8"/>
      <c r="J1015" s="11"/>
      <c r="K1015" s="39"/>
      <c r="L1015" s="40"/>
      <c r="M1015" s="28"/>
      <c r="N1015" s="10"/>
      <c r="O1015" s="15"/>
      <c r="P1015" s="16"/>
      <c r="Q1015" s="15"/>
      <c r="R1015" s="17"/>
    </row>
    <row r="1016">
      <c r="A1016" s="38"/>
      <c r="B1016" s="8"/>
      <c r="C1016" s="9"/>
      <c r="D1016" s="8"/>
      <c r="E1016" s="8"/>
      <c r="F1016" s="8"/>
      <c r="G1016" s="9"/>
      <c r="H1016" s="8"/>
      <c r="I1016" s="8"/>
      <c r="J1016" s="11"/>
      <c r="K1016" s="39"/>
      <c r="L1016" s="40"/>
      <c r="M1016" s="28"/>
      <c r="N1016" s="10"/>
      <c r="O1016" s="15"/>
      <c r="P1016" s="16"/>
      <c r="Q1016" s="15"/>
      <c r="R1016" s="17"/>
    </row>
    <row r="1017">
      <c r="A1017" s="38"/>
      <c r="B1017" s="8"/>
      <c r="C1017" s="9"/>
      <c r="D1017" s="8"/>
      <c r="E1017" s="8"/>
      <c r="F1017" s="8"/>
      <c r="G1017" s="9"/>
      <c r="H1017" s="8"/>
      <c r="I1017" s="8"/>
      <c r="J1017" s="11"/>
      <c r="K1017" s="39"/>
      <c r="L1017" s="40"/>
      <c r="M1017" s="28"/>
      <c r="N1017" s="10"/>
      <c r="O1017" s="15"/>
      <c r="P1017" s="16"/>
      <c r="Q1017" s="15"/>
      <c r="R1017" s="17"/>
    </row>
    <row r="1018">
      <c r="A1018" s="38"/>
      <c r="B1018" s="8"/>
      <c r="C1018" s="9"/>
      <c r="D1018" s="8"/>
      <c r="E1018" s="8"/>
      <c r="F1018" s="8"/>
      <c r="G1018" s="9"/>
      <c r="H1018" s="8"/>
      <c r="I1018" s="8"/>
      <c r="J1018" s="11"/>
      <c r="K1018" s="39"/>
      <c r="L1018" s="40"/>
      <c r="M1018" s="28"/>
      <c r="N1018" s="10"/>
      <c r="O1018" s="15"/>
      <c r="P1018" s="16"/>
      <c r="Q1018" s="15"/>
      <c r="R1018" s="17"/>
    </row>
    <row r="1019">
      <c r="A1019" s="38"/>
      <c r="B1019" s="8"/>
      <c r="C1019" s="9"/>
      <c r="D1019" s="8"/>
      <c r="E1019" s="8"/>
      <c r="F1019" s="8"/>
      <c r="G1019" s="9"/>
      <c r="H1019" s="8"/>
      <c r="I1019" s="8"/>
      <c r="J1019" s="11"/>
      <c r="K1019" s="39"/>
      <c r="L1019" s="40"/>
      <c r="M1019" s="28"/>
      <c r="N1019" s="10"/>
      <c r="O1019" s="15"/>
      <c r="P1019" s="16"/>
      <c r="Q1019" s="15"/>
      <c r="R1019" s="17"/>
    </row>
    <row r="1020">
      <c r="A1020" s="38"/>
      <c r="B1020" s="8"/>
      <c r="C1020" s="9"/>
      <c r="D1020" s="8"/>
      <c r="E1020" s="8"/>
      <c r="F1020" s="8"/>
      <c r="G1020" s="9"/>
      <c r="H1020" s="8"/>
      <c r="I1020" s="8"/>
      <c r="J1020" s="11"/>
      <c r="K1020" s="39"/>
      <c r="L1020" s="40"/>
      <c r="M1020" s="28"/>
      <c r="N1020" s="10"/>
      <c r="O1020" s="15"/>
      <c r="P1020" s="16"/>
      <c r="Q1020" s="15"/>
      <c r="R1020" s="17"/>
    </row>
    <row r="1021">
      <c r="A1021" s="38"/>
      <c r="B1021" s="8"/>
      <c r="C1021" s="9"/>
      <c r="D1021" s="8"/>
      <c r="E1021" s="8"/>
      <c r="F1021" s="8"/>
      <c r="G1021" s="9"/>
      <c r="H1021" s="8"/>
      <c r="I1021" s="8"/>
      <c r="J1021" s="11"/>
      <c r="K1021" s="39"/>
      <c r="L1021" s="40"/>
      <c r="M1021" s="28"/>
      <c r="N1021" s="10"/>
      <c r="O1021" s="15"/>
      <c r="P1021" s="16"/>
      <c r="Q1021" s="15"/>
      <c r="R1021" s="17"/>
    </row>
    <row r="1022">
      <c r="A1022" s="38"/>
      <c r="B1022" s="8"/>
      <c r="C1022" s="9"/>
      <c r="D1022" s="8"/>
      <c r="E1022" s="8"/>
      <c r="F1022" s="8"/>
      <c r="G1022" s="9"/>
      <c r="H1022" s="8"/>
      <c r="I1022" s="8"/>
      <c r="J1022" s="11"/>
      <c r="K1022" s="39"/>
      <c r="L1022" s="40"/>
      <c r="M1022" s="28"/>
      <c r="N1022" s="10"/>
      <c r="O1022" s="15"/>
      <c r="P1022" s="16"/>
      <c r="Q1022" s="15"/>
      <c r="R1022" s="17"/>
    </row>
    <row r="1023">
      <c r="A1023" s="38"/>
      <c r="B1023" s="8"/>
      <c r="C1023" s="9"/>
      <c r="D1023" s="8"/>
      <c r="E1023" s="8"/>
      <c r="F1023" s="8"/>
      <c r="G1023" s="9"/>
      <c r="H1023" s="8"/>
      <c r="I1023" s="8"/>
      <c r="J1023" s="11"/>
      <c r="K1023" s="39"/>
      <c r="L1023" s="40"/>
      <c r="M1023" s="28"/>
      <c r="N1023" s="10"/>
      <c r="O1023" s="15"/>
      <c r="P1023" s="16"/>
      <c r="Q1023" s="15"/>
      <c r="R1023" s="17"/>
    </row>
    <row r="1024">
      <c r="A1024" s="38"/>
      <c r="B1024" s="8"/>
      <c r="C1024" s="9"/>
      <c r="D1024" s="8"/>
      <c r="E1024" s="8"/>
      <c r="F1024" s="8"/>
      <c r="G1024" s="9"/>
      <c r="H1024" s="8"/>
      <c r="I1024" s="8"/>
      <c r="J1024" s="11"/>
      <c r="K1024" s="39"/>
      <c r="L1024" s="40"/>
      <c r="M1024" s="28"/>
      <c r="N1024" s="10"/>
      <c r="O1024" s="15"/>
      <c r="P1024" s="16"/>
      <c r="Q1024" s="15"/>
      <c r="R1024" s="17"/>
    </row>
    <row r="1025">
      <c r="A1025" s="38"/>
      <c r="B1025" s="8"/>
      <c r="C1025" s="9"/>
      <c r="D1025" s="8"/>
      <c r="E1025" s="8"/>
      <c r="F1025" s="8"/>
      <c r="G1025" s="9"/>
      <c r="H1025" s="8"/>
      <c r="I1025" s="8"/>
      <c r="J1025" s="11"/>
      <c r="K1025" s="39"/>
      <c r="L1025" s="40"/>
      <c r="M1025" s="28"/>
      <c r="N1025" s="10"/>
      <c r="O1025" s="15"/>
      <c r="P1025" s="16"/>
      <c r="Q1025" s="15"/>
      <c r="R1025" s="17"/>
    </row>
    <row r="1026">
      <c r="A1026" s="38"/>
      <c r="B1026" s="8"/>
      <c r="C1026" s="9"/>
      <c r="D1026" s="8"/>
      <c r="E1026" s="8"/>
      <c r="F1026" s="8"/>
      <c r="G1026" s="9"/>
      <c r="H1026" s="8"/>
      <c r="I1026" s="8"/>
      <c r="J1026" s="11"/>
      <c r="K1026" s="39"/>
      <c r="L1026" s="40"/>
      <c r="M1026" s="28"/>
      <c r="N1026" s="10"/>
      <c r="O1026" s="15"/>
      <c r="P1026" s="16"/>
      <c r="Q1026" s="15"/>
      <c r="R1026" s="17"/>
    </row>
    <row r="1027">
      <c r="A1027" s="38"/>
      <c r="B1027" s="8"/>
      <c r="C1027" s="9"/>
      <c r="D1027" s="8"/>
      <c r="E1027" s="8"/>
      <c r="F1027" s="8"/>
      <c r="G1027" s="9"/>
      <c r="H1027" s="8"/>
      <c r="I1027" s="8"/>
      <c r="J1027" s="11"/>
      <c r="K1027" s="39"/>
      <c r="L1027" s="40"/>
      <c r="M1027" s="28"/>
      <c r="N1027" s="10"/>
      <c r="O1027" s="15"/>
      <c r="P1027" s="16"/>
      <c r="Q1027" s="15"/>
      <c r="R1027" s="17"/>
    </row>
    <row r="1028">
      <c r="A1028" s="38"/>
      <c r="B1028" s="8"/>
      <c r="C1028" s="9"/>
      <c r="D1028" s="8"/>
      <c r="E1028" s="8"/>
      <c r="F1028" s="8"/>
      <c r="G1028" s="9"/>
      <c r="H1028" s="8"/>
      <c r="I1028" s="8"/>
      <c r="J1028" s="11"/>
      <c r="K1028" s="39"/>
      <c r="L1028" s="40"/>
      <c r="M1028" s="28"/>
      <c r="N1028" s="10"/>
      <c r="O1028" s="15"/>
      <c r="P1028" s="16"/>
      <c r="Q1028" s="15"/>
      <c r="R1028" s="17"/>
    </row>
    <row r="1029">
      <c r="A1029" s="38"/>
      <c r="B1029" s="8"/>
      <c r="C1029" s="9"/>
      <c r="D1029" s="8"/>
      <c r="E1029" s="8"/>
      <c r="F1029" s="8"/>
      <c r="G1029" s="9"/>
      <c r="H1029" s="8"/>
      <c r="I1029" s="8"/>
      <c r="J1029" s="11"/>
      <c r="K1029" s="39"/>
      <c r="L1029" s="40"/>
      <c r="M1029" s="28"/>
      <c r="N1029" s="10"/>
      <c r="O1029" s="15"/>
      <c r="P1029" s="16"/>
      <c r="Q1029" s="15"/>
      <c r="R1029" s="17"/>
    </row>
    <row r="1030">
      <c r="A1030" s="38"/>
      <c r="B1030" s="8"/>
      <c r="C1030" s="9"/>
      <c r="D1030" s="8"/>
      <c r="E1030" s="8"/>
      <c r="F1030" s="8"/>
      <c r="G1030" s="9"/>
      <c r="H1030" s="8"/>
      <c r="I1030" s="8"/>
      <c r="J1030" s="11"/>
      <c r="K1030" s="39"/>
      <c r="L1030" s="40"/>
      <c r="M1030" s="28"/>
      <c r="N1030" s="10"/>
      <c r="O1030" s="15"/>
      <c r="P1030" s="16"/>
      <c r="Q1030" s="15"/>
      <c r="R1030" s="17"/>
    </row>
    <row r="1031">
      <c r="A1031" s="38"/>
      <c r="B1031" s="8"/>
      <c r="C1031" s="9"/>
      <c r="D1031" s="8"/>
      <c r="E1031" s="8"/>
      <c r="F1031" s="8"/>
      <c r="G1031" s="9"/>
      <c r="H1031" s="8"/>
      <c r="I1031" s="8"/>
      <c r="J1031" s="11"/>
      <c r="K1031" s="39"/>
      <c r="L1031" s="40"/>
      <c r="M1031" s="28"/>
      <c r="N1031" s="10"/>
      <c r="O1031" s="15"/>
      <c r="P1031" s="16"/>
      <c r="Q1031" s="15"/>
      <c r="R1031" s="17"/>
    </row>
    <row r="1032">
      <c r="A1032" s="38"/>
      <c r="B1032" s="8"/>
      <c r="C1032" s="9"/>
      <c r="D1032" s="8"/>
      <c r="E1032" s="8"/>
      <c r="F1032" s="8"/>
      <c r="G1032" s="9"/>
      <c r="H1032" s="8"/>
      <c r="I1032" s="8"/>
      <c r="J1032" s="11"/>
      <c r="K1032" s="39"/>
      <c r="L1032" s="40"/>
      <c r="M1032" s="28"/>
      <c r="N1032" s="10"/>
      <c r="O1032" s="15"/>
      <c r="P1032" s="16"/>
      <c r="Q1032" s="15"/>
      <c r="R1032" s="17"/>
    </row>
    <row r="1033">
      <c r="A1033" s="38"/>
      <c r="B1033" s="8"/>
      <c r="C1033" s="9"/>
      <c r="D1033" s="8"/>
      <c r="E1033" s="8"/>
      <c r="F1033" s="8"/>
      <c r="G1033" s="9"/>
      <c r="H1033" s="8"/>
      <c r="I1033" s="8"/>
      <c r="J1033" s="11"/>
      <c r="K1033" s="39"/>
      <c r="L1033" s="40"/>
      <c r="M1033" s="28"/>
      <c r="N1033" s="10"/>
      <c r="O1033" s="15"/>
      <c r="P1033" s="16"/>
      <c r="Q1033" s="15"/>
      <c r="R1033" s="17"/>
    </row>
    <row r="1034">
      <c r="A1034" s="38"/>
      <c r="B1034" s="8"/>
      <c r="C1034" s="9"/>
      <c r="D1034" s="8"/>
      <c r="E1034" s="8"/>
      <c r="F1034" s="8"/>
      <c r="G1034" s="9"/>
      <c r="H1034" s="8"/>
      <c r="I1034" s="8"/>
      <c r="J1034" s="11"/>
      <c r="K1034" s="39"/>
      <c r="L1034" s="40"/>
      <c r="M1034" s="28"/>
      <c r="N1034" s="10"/>
      <c r="O1034" s="15"/>
      <c r="P1034" s="16"/>
      <c r="Q1034" s="15"/>
      <c r="R1034" s="17"/>
    </row>
    <row r="1035">
      <c r="A1035" s="38"/>
      <c r="B1035" s="8"/>
      <c r="C1035" s="9"/>
      <c r="D1035" s="8"/>
      <c r="E1035" s="8"/>
      <c r="F1035" s="8"/>
      <c r="G1035" s="9"/>
      <c r="H1035" s="8"/>
      <c r="I1035" s="8"/>
      <c r="J1035" s="11"/>
      <c r="K1035" s="39"/>
      <c r="L1035" s="40"/>
      <c r="M1035" s="28"/>
      <c r="N1035" s="10"/>
      <c r="O1035" s="15"/>
      <c r="P1035" s="16"/>
      <c r="Q1035" s="15"/>
      <c r="R1035" s="17"/>
    </row>
    <row r="1036">
      <c r="A1036" s="38"/>
      <c r="B1036" s="8"/>
      <c r="C1036" s="9"/>
      <c r="D1036" s="8"/>
      <c r="E1036" s="8"/>
      <c r="F1036" s="8"/>
      <c r="G1036" s="9"/>
      <c r="H1036" s="8"/>
      <c r="I1036" s="8"/>
      <c r="J1036" s="11"/>
      <c r="K1036" s="39"/>
      <c r="L1036" s="40"/>
      <c r="M1036" s="28"/>
      <c r="N1036" s="10"/>
      <c r="O1036" s="15"/>
      <c r="P1036" s="16"/>
      <c r="Q1036" s="15"/>
      <c r="R1036" s="17"/>
    </row>
    <row r="1037">
      <c r="A1037" s="38"/>
      <c r="B1037" s="8"/>
      <c r="C1037" s="9"/>
      <c r="D1037" s="8"/>
      <c r="E1037" s="8"/>
      <c r="F1037" s="8"/>
      <c r="G1037" s="9"/>
      <c r="H1037" s="8"/>
      <c r="I1037" s="8"/>
      <c r="J1037" s="11"/>
      <c r="K1037" s="39"/>
      <c r="L1037" s="40"/>
      <c r="M1037" s="28"/>
      <c r="N1037" s="10"/>
      <c r="O1037" s="15"/>
      <c r="P1037" s="16"/>
      <c r="Q1037" s="15"/>
      <c r="R1037" s="17"/>
    </row>
    <row r="1038">
      <c r="A1038" s="38"/>
      <c r="B1038" s="8"/>
      <c r="C1038" s="9"/>
      <c r="D1038" s="8"/>
      <c r="E1038" s="8"/>
      <c r="F1038" s="8"/>
      <c r="G1038" s="9"/>
      <c r="H1038" s="8"/>
      <c r="I1038" s="8"/>
      <c r="J1038" s="11"/>
      <c r="K1038" s="39"/>
      <c r="L1038" s="40"/>
      <c r="M1038" s="28"/>
      <c r="N1038" s="10"/>
      <c r="O1038" s="15"/>
      <c r="P1038" s="16"/>
      <c r="Q1038" s="15"/>
      <c r="R1038" s="17"/>
    </row>
    <row r="1039">
      <c r="A1039" s="38"/>
      <c r="B1039" s="8"/>
      <c r="C1039" s="9"/>
      <c r="D1039" s="8"/>
      <c r="E1039" s="8"/>
      <c r="F1039" s="8"/>
      <c r="G1039" s="9"/>
      <c r="H1039" s="8"/>
      <c r="I1039" s="8"/>
      <c r="J1039" s="11"/>
      <c r="K1039" s="39"/>
      <c r="L1039" s="40"/>
      <c r="M1039" s="28"/>
      <c r="N1039" s="10"/>
      <c r="O1039" s="15"/>
      <c r="P1039" s="16"/>
      <c r="Q1039" s="15"/>
      <c r="R1039" s="17"/>
    </row>
    <row r="1040">
      <c r="A1040" s="38"/>
      <c r="B1040" s="8"/>
      <c r="C1040" s="9"/>
      <c r="D1040" s="8"/>
      <c r="E1040" s="8"/>
      <c r="F1040" s="8"/>
      <c r="G1040" s="9"/>
      <c r="H1040" s="8"/>
      <c r="I1040" s="8"/>
      <c r="J1040" s="11"/>
      <c r="K1040" s="39"/>
      <c r="L1040" s="40"/>
      <c r="M1040" s="28"/>
      <c r="N1040" s="10"/>
      <c r="O1040" s="15"/>
      <c r="P1040" s="16"/>
      <c r="Q1040" s="15"/>
      <c r="R1040" s="17"/>
    </row>
    <row r="1041">
      <c r="A1041" s="38"/>
      <c r="B1041" s="8"/>
      <c r="C1041" s="9"/>
      <c r="D1041" s="8"/>
      <c r="E1041" s="8"/>
      <c r="F1041" s="8"/>
      <c r="G1041" s="9"/>
      <c r="H1041" s="8"/>
      <c r="I1041" s="8"/>
      <c r="J1041" s="11"/>
      <c r="K1041" s="39"/>
      <c r="L1041" s="40"/>
      <c r="M1041" s="28"/>
      <c r="N1041" s="10"/>
      <c r="O1041" s="15"/>
      <c r="P1041" s="16"/>
      <c r="Q1041" s="15"/>
      <c r="R1041" s="17"/>
    </row>
    <row r="1042">
      <c r="A1042" s="38"/>
      <c r="B1042" s="8"/>
      <c r="C1042" s="9"/>
      <c r="D1042" s="8"/>
      <c r="E1042" s="8"/>
      <c r="F1042" s="8"/>
      <c r="G1042" s="9"/>
      <c r="H1042" s="8"/>
      <c r="I1042" s="8"/>
      <c r="J1042" s="11"/>
      <c r="K1042" s="39"/>
      <c r="L1042" s="40"/>
      <c r="M1042" s="28"/>
      <c r="N1042" s="10"/>
      <c r="O1042" s="15"/>
      <c r="P1042" s="16"/>
      <c r="Q1042" s="15"/>
      <c r="R1042" s="17"/>
    </row>
    <row r="1043">
      <c r="A1043" s="38"/>
      <c r="B1043" s="8"/>
      <c r="C1043" s="9"/>
      <c r="D1043" s="8"/>
      <c r="E1043" s="8"/>
      <c r="F1043" s="8"/>
      <c r="G1043" s="9"/>
      <c r="H1043" s="8"/>
      <c r="I1043" s="8"/>
      <c r="J1043" s="11"/>
      <c r="K1043" s="39"/>
      <c r="L1043" s="40"/>
      <c r="M1043" s="28"/>
      <c r="N1043" s="10"/>
      <c r="O1043" s="15"/>
      <c r="P1043" s="16"/>
      <c r="Q1043" s="15"/>
      <c r="R1043" s="17"/>
    </row>
    <row r="1044">
      <c r="A1044" s="38"/>
      <c r="B1044" s="8"/>
      <c r="C1044" s="9"/>
      <c r="D1044" s="8"/>
      <c r="E1044" s="8"/>
      <c r="F1044" s="8"/>
      <c r="G1044" s="9"/>
      <c r="H1044" s="8"/>
      <c r="I1044" s="8"/>
      <c r="J1044" s="11"/>
      <c r="K1044" s="39"/>
      <c r="L1044" s="40"/>
      <c r="M1044" s="28"/>
      <c r="N1044" s="10"/>
      <c r="O1044" s="15"/>
      <c r="P1044" s="16"/>
      <c r="Q1044" s="15"/>
      <c r="R1044" s="17"/>
    </row>
    <row r="1045">
      <c r="A1045" s="38"/>
      <c r="B1045" s="8"/>
      <c r="C1045" s="9"/>
      <c r="D1045" s="8"/>
      <c r="E1045" s="8"/>
      <c r="F1045" s="8"/>
      <c r="G1045" s="9"/>
      <c r="H1045" s="8"/>
      <c r="I1045" s="8"/>
      <c r="J1045" s="11"/>
      <c r="K1045" s="39"/>
      <c r="L1045" s="40"/>
      <c r="M1045" s="28"/>
      <c r="N1045" s="10"/>
      <c r="O1045" s="15"/>
      <c r="P1045" s="16"/>
      <c r="Q1045" s="15"/>
      <c r="R1045" s="17"/>
    </row>
    <row r="1046">
      <c r="A1046" s="38"/>
      <c r="B1046" s="8"/>
      <c r="C1046" s="9"/>
      <c r="D1046" s="8"/>
      <c r="E1046" s="8"/>
      <c r="F1046" s="8"/>
      <c r="G1046" s="9"/>
      <c r="H1046" s="8"/>
      <c r="I1046" s="8"/>
      <c r="J1046" s="11"/>
      <c r="K1046" s="39"/>
      <c r="L1046" s="40"/>
      <c r="M1046" s="28"/>
      <c r="N1046" s="10"/>
      <c r="O1046" s="15"/>
      <c r="P1046" s="16"/>
      <c r="Q1046" s="15"/>
      <c r="R1046" s="17"/>
    </row>
    <row r="1047">
      <c r="A1047" s="38"/>
      <c r="B1047" s="8"/>
      <c r="C1047" s="9"/>
      <c r="D1047" s="8"/>
      <c r="E1047" s="8"/>
      <c r="F1047" s="8"/>
      <c r="G1047" s="9"/>
      <c r="H1047" s="8"/>
      <c r="I1047" s="8"/>
      <c r="J1047" s="11"/>
      <c r="K1047" s="39"/>
      <c r="L1047" s="40"/>
      <c r="M1047" s="28"/>
      <c r="N1047" s="10"/>
      <c r="O1047" s="15"/>
      <c r="P1047" s="16"/>
      <c r="Q1047" s="15"/>
      <c r="R1047" s="17"/>
    </row>
    <row r="1048">
      <c r="A1048" s="38"/>
      <c r="B1048" s="8"/>
      <c r="C1048" s="9"/>
      <c r="D1048" s="8"/>
      <c r="E1048" s="8"/>
      <c r="F1048" s="8"/>
      <c r="G1048" s="9"/>
      <c r="H1048" s="8"/>
      <c r="I1048" s="8"/>
      <c r="J1048" s="11"/>
      <c r="K1048" s="39"/>
      <c r="L1048" s="40"/>
      <c r="M1048" s="28"/>
      <c r="N1048" s="10"/>
      <c r="O1048" s="15"/>
      <c r="P1048" s="16"/>
      <c r="Q1048" s="15"/>
      <c r="R1048" s="17"/>
    </row>
    <row r="1049">
      <c r="A1049" s="38"/>
      <c r="B1049" s="8"/>
      <c r="C1049" s="9"/>
      <c r="D1049" s="8"/>
      <c r="E1049" s="8"/>
      <c r="F1049" s="8"/>
      <c r="G1049" s="9"/>
      <c r="H1049" s="8"/>
      <c r="I1049" s="8"/>
      <c r="J1049" s="11"/>
      <c r="K1049" s="39"/>
      <c r="L1049" s="40"/>
      <c r="M1049" s="28"/>
      <c r="N1049" s="10"/>
      <c r="O1049" s="15"/>
      <c r="P1049" s="16"/>
      <c r="Q1049" s="15"/>
      <c r="R1049" s="17"/>
    </row>
    <row r="1050">
      <c r="A1050" s="38"/>
      <c r="B1050" s="8"/>
      <c r="C1050" s="9"/>
      <c r="D1050" s="8"/>
      <c r="E1050" s="8"/>
      <c r="F1050" s="8"/>
      <c r="G1050" s="9"/>
      <c r="H1050" s="8"/>
      <c r="I1050" s="8"/>
      <c r="J1050" s="11"/>
      <c r="K1050" s="39"/>
      <c r="L1050" s="40"/>
      <c r="M1050" s="28"/>
      <c r="N1050" s="10"/>
      <c r="O1050" s="15"/>
      <c r="P1050" s="16"/>
      <c r="Q1050" s="15"/>
      <c r="R1050" s="17"/>
    </row>
    <row r="1051">
      <c r="A1051" s="38"/>
      <c r="B1051" s="8"/>
      <c r="C1051" s="9"/>
      <c r="D1051" s="8"/>
      <c r="E1051" s="8"/>
      <c r="F1051" s="8"/>
      <c r="G1051" s="9"/>
      <c r="H1051" s="8"/>
      <c r="I1051" s="8"/>
      <c r="J1051" s="11"/>
      <c r="K1051" s="39"/>
      <c r="L1051" s="40"/>
      <c r="M1051" s="28"/>
      <c r="N1051" s="10"/>
      <c r="O1051" s="15"/>
      <c r="P1051" s="16"/>
      <c r="Q1051" s="15"/>
      <c r="R1051" s="17"/>
    </row>
    <row r="1052">
      <c r="A1052" s="38"/>
      <c r="B1052" s="8"/>
      <c r="C1052" s="9"/>
      <c r="D1052" s="8"/>
      <c r="E1052" s="8"/>
      <c r="F1052" s="8"/>
      <c r="G1052" s="9"/>
      <c r="H1052" s="8"/>
      <c r="I1052" s="8"/>
      <c r="J1052" s="11"/>
      <c r="K1052" s="39"/>
      <c r="L1052" s="40"/>
      <c r="M1052" s="28"/>
      <c r="N1052" s="10"/>
      <c r="O1052" s="15"/>
      <c r="P1052" s="16"/>
      <c r="Q1052" s="15"/>
      <c r="R1052" s="17"/>
    </row>
    <row r="1053">
      <c r="A1053" s="38"/>
      <c r="B1053" s="8"/>
      <c r="C1053" s="9"/>
      <c r="D1053" s="8"/>
      <c r="E1053" s="8"/>
      <c r="F1053" s="8"/>
      <c r="G1053" s="9"/>
      <c r="H1053" s="8"/>
      <c r="I1053" s="8"/>
      <c r="J1053" s="11"/>
      <c r="K1053" s="39"/>
      <c r="L1053" s="40"/>
      <c r="M1053" s="28"/>
      <c r="N1053" s="10"/>
      <c r="O1053" s="15"/>
      <c r="P1053" s="16"/>
      <c r="Q1053" s="15"/>
      <c r="R1053" s="17"/>
    </row>
    <row r="1054">
      <c r="A1054" s="38"/>
      <c r="B1054" s="8"/>
      <c r="C1054" s="9"/>
      <c r="D1054" s="8"/>
      <c r="E1054" s="8"/>
      <c r="F1054" s="8"/>
      <c r="G1054" s="9"/>
      <c r="H1054" s="8"/>
      <c r="I1054" s="8"/>
      <c r="J1054" s="11"/>
      <c r="K1054" s="39"/>
      <c r="L1054" s="40"/>
      <c r="M1054" s="28"/>
      <c r="N1054" s="10"/>
      <c r="O1054" s="15"/>
      <c r="P1054" s="16"/>
      <c r="Q1054" s="15"/>
      <c r="R1054" s="17"/>
    </row>
    <row r="1055">
      <c r="A1055" s="38"/>
      <c r="B1055" s="8"/>
      <c r="C1055" s="9"/>
      <c r="D1055" s="8"/>
      <c r="E1055" s="8"/>
      <c r="F1055" s="8"/>
      <c r="G1055" s="9"/>
      <c r="H1055" s="8"/>
      <c r="I1055" s="8"/>
      <c r="J1055" s="11"/>
      <c r="K1055" s="39"/>
      <c r="L1055" s="40"/>
      <c r="M1055" s="28"/>
      <c r="N1055" s="10"/>
      <c r="O1055" s="15"/>
      <c r="P1055" s="16"/>
      <c r="Q1055" s="15"/>
      <c r="R1055" s="17"/>
    </row>
    <row r="1056">
      <c r="A1056" s="38"/>
      <c r="B1056" s="8"/>
      <c r="C1056" s="9"/>
      <c r="D1056" s="8"/>
      <c r="E1056" s="8"/>
      <c r="F1056" s="8"/>
      <c r="G1056" s="9"/>
      <c r="H1056" s="8"/>
      <c r="I1056" s="8"/>
      <c r="J1056" s="11"/>
      <c r="K1056" s="39"/>
      <c r="L1056" s="40"/>
      <c r="M1056" s="28"/>
      <c r="N1056" s="10"/>
      <c r="O1056" s="15"/>
      <c r="P1056" s="16"/>
      <c r="Q1056" s="15"/>
      <c r="R1056" s="17"/>
    </row>
    <row r="1057">
      <c r="A1057" s="38"/>
      <c r="B1057" s="8"/>
      <c r="C1057" s="9"/>
      <c r="D1057" s="8"/>
      <c r="E1057" s="8"/>
      <c r="F1057" s="8"/>
      <c r="G1057" s="9"/>
      <c r="H1057" s="8"/>
      <c r="I1057" s="8"/>
      <c r="J1057" s="11"/>
      <c r="K1057" s="39"/>
      <c r="L1057" s="40"/>
      <c r="M1057" s="28"/>
      <c r="N1057" s="10"/>
      <c r="O1057" s="15"/>
      <c r="P1057" s="16"/>
      <c r="Q1057" s="15"/>
      <c r="R1057" s="17"/>
    </row>
    <row r="1058">
      <c r="A1058" s="38"/>
      <c r="B1058" s="8"/>
      <c r="C1058" s="9"/>
      <c r="D1058" s="8"/>
      <c r="E1058" s="8"/>
      <c r="F1058" s="8"/>
      <c r="G1058" s="9"/>
      <c r="H1058" s="8"/>
      <c r="I1058" s="8"/>
      <c r="J1058" s="11"/>
      <c r="K1058" s="39"/>
      <c r="L1058" s="40"/>
      <c r="M1058" s="28"/>
      <c r="N1058" s="10"/>
      <c r="O1058" s="15"/>
      <c r="P1058" s="16"/>
      <c r="Q1058" s="15"/>
      <c r="R1058" s="17"/>
    </row>
    <row r="1059">
      <c r="A1059" s="38"/>
      <c r="B1059" s="8"/>
      <c r="C1059" s="9"/>
      <c r="D1059" s="8"/>
      <c r="E1059" s="8"/>
      <c r="F1059" s="8"/>
      <c r="G1059" s="9"/>
      <c r="H1059" s="8"/>
      <c r="I1059" s="8"/>
      <c r="J1059" s="11"/>
      <c r="K1059" s="39"/>
      <c r="L1059" s="40"/>
      <c r="M1059" s="28"/>
      <c r="N1059" s="10"/>
      <c r="O1059" s="15"/>
      <c r="P1059" s="16"/>
      <c r="Q1059" s="15"/>
      <c r="R1059" s="17"/>
    </row>
    <row r="1060">
      <c r="A1060" s="38"/>
      <c r="B1060" s="8"/>
      <c r="C1060" s="9"/>
      <c r="D1060" s="8"/>
      <c r="E1060" s="8"/>
      <c r="F1060" s="8"/>
      <c r="G1060" s="9"/>
      <c r="H1060" s="8"/>
      <c r="I1060" s="8"/>
      <c r="J1060" s="11"/>
      <c r="K1060" s="39"/>
      <c r="L1060" s="40"/>
      <c r="M1060" s="28"/>
      <c r="N1060" s="10"/>
      <c r="O1060" s="15"/>
      <c r="P1060" s="16"/>
      <c r="Q1060" s="15"/>
      <c r="R1060" s="17"/>
    </row>
    <row r="1061">
      <c r="A1061" s="38"/>
      <c r="B1061" s="8"/>
      <c r="C1061" s="9"/>
      <c r="D1061" s="8"/>
      <c r="E1061" s="8"/>
      <c r="F1061" s="8"/>
      <c r="G1061" s="9"/>
      <c r="H1061" s="8"/>
      <c r="I1061" s="8"/>
      <c r="J1061" s="11"/>
      <c r="K1061" s="39"/>
      <c r="L1061" s="40"/>
      <c r="M1061" s="28"/>
      <c r="N1061" s="10"/>
      <c r="O1061" s="15"/>
      <c r="P1061" s="16"/>
      <c r="Q1061" s="15"/>
      <c r="R1061" s="17"/>
    </row>
    <row r="1062">
      <c r="A1062" s="38"/>
      <c r="B1062" s="8"/>
      <c r="C1062" s="9"/>
      <c r="D1062" s="8"/>
      <c r="E1062" s="8"/>
      <c r="F1062" s="8"/>
      <c r="G1062" s="9"/>
      <c r="H1062" s="8"/>
      <c r="I1062" s="8"/>
      <c r="J1062" s="11"/>
      <c r="K1062" s="39"/>
      <c r="L1062" s="40"/>
      <c r="M1062" s="28"/>
      <c r="N1062" s="10"/>
      <c r="O1062" s="15"/>
      <c r="P1062" s="16"/>
      <c r="Q1062" s="15"/>
      <c r="R1062" s="17"/>
    </row>
    <row r="1063">
      <c r="A1063" s="38"/>
      <c r="B1063" s="8"/>
      <c r="C1063" s="9"/>
      <c r="D1063" s="8"/>
      <c r="E1063" s="8"/>
      <c r="F1063" s="8"/>
      <c r="G1063" s="9"/>
      <c r="H1063" s="8"/>
      <c r="I1063" s="8"/>
      <c r="J1063" s="11"/>
      <c r="K1063" s="39"/>
      <c r="L1063" s="40"/>
      <c r="M1063" s="28"/>
      <c r="N1063" s="10"/>
      <c r="O1063" s="15"/>
      <c r="P1063" s="16"/>
      <c r="Q1063" s="15"/>
      <c r="R1063" s="17"/>
    </row>
    <row r="1064">
      <c r="A1064" s="38"/>
      <c r="B1064" s="8"/>
      <c r="C1064" s="9"/>
      <c r="D1064" s="8"/>
      <c r="E1064" s="8"/>
      <c r="F1064" s="8"/>
      <c r="G1064" s="9"/>
      <c r="H1064" s="8"/>
      <c r="I1064" s="8"/>
      <c r="J1064" s="11"/>
      <c r="K1064" s="39"/>
      <c r="L1064" s="40"/>
      <c r="M1064" s="28"/>
      <c r="N1064" s="10"/>
      <c r="O1064" s="15"/>
      <c r="P1064" s="16"/>
      <c r="Q1064" s="15"/>
      <c r="R1064" s="17"/>
    </row>
    <row r="1065">
      <c r="A1065" s="38"/>
      <c r="B1065" s="8"/>
      <c r="C1065" s="9"/>
      <c r="D1065" s="8"/>
      <c r="E1065" s="8"/>
      <c r="F1065" s="8"/>
      <c r="G1065" s="9"/>
      <c r="H1065" s="8"/>
      <c r="I1065" s="8"/>
      <c r="J1065" s="11"/>
      <c r="K1065" s="39"/>
      <c r="L1065" s="40"/>
      <c r="M1065" s="28"/>
      <c r="N1065" s="10"/>
      <c r="O1065" s="15"/>
      <c r="P1065" s="16"/>
      <c r="Q1065" s="15"/>
      <c r="R1065" s="17"/>
    </row>
    <row r="1066">
      <c r="A1066" s="38"/>
      <c r="B1066" s="8"/>
      <c r="C1066" s="9"/>
      <c r="D1066" s="8"/>
      <c r="E1066" s="8"/>
      <c r="F1066" s="8"/>
      <c r="G1066" s="9"/>
      <c r="H1066" s="8"/>
      <c r="I1066" s="8"/>
      <c r="J1066" s="11"/>
      <c r="K1066" s="39"/>
      <c r="L1066" s="40"/>
      <c r="M1066" s="28"/>
      <c r="N1066" s="10"/>
      <c r="O1066" s="15"/>
      <c r="P1066" s="16"/>
      <c r="Q1066" s="15"/>
      <c r="R1066" s="17"/>
    </row>
    <row r="1067">
      <c r="A1067" s="38"/>
      <c r="B1067" s="8"/>
      <c r="C1067" s="9"/>
      <c r="D1067" s="8"/>
      <c r="E1067" s="8"/>
      <c r="F1067" s="8"/>
      <c r="G1067" s="9"/>
      <c r="H1067" s="8"/>
      <c r="I1067" s="8"/>
      <c r="J1067" s="11"/>
      <c r="K1067" s="39"/>
      <c r="L1067" s="40"/>
      <c r="M1067" s="28"/>
      <c r="N1067" s="10"/>
      <c r="O1067" s="15"/>
      <c r="P1067" s="16"/>
      <c r="Q1067" s="15"/>
      <c r="R1067" s="17"/>
    </row>
    <row r="1068">
      <c r="A1068" s="38"/>
      <c r="B1068" s="8"/>
      <c r="C1068" s="9"/>
      <c r="D1068" s="8"/>
      <c r="E1068" s="8"/>
      <c r="F1068" s="8"/>
      <c r="G1068" s="9"/>
      <c r="H1068" s="8"/>
      <c r="I1068" s="8"/>
      <c r="J1068" s="11"/>
      <c r="K1068" s="39"/>
      <c r="L1068" s="40"/>
      <c r="M1068" s="28"/>
      <c r="N1068" s="10"/>
      <c r="O1068" s="15"/>
      <c r="P1068" s="16"/>
      <c r="Q1068" s="15"/>
      <c r="R1068" s="17"/>
    </row>
    <row r="1069">
      <c r="A1069" s="38"/>
      <c r="B1069" s="8"/>
      <c r="C1069" s="9"/>
      <c r="D1069" s="8"/>
      <c r="E1069" s="8"/>
      <c r="F1069" s="8"/>
      <c r="G1069" s="9"/>
      <c r="H1069" s="8"/>
      <c r="I1069" s="8"/>
      <c r="J1069" s="11"/>
      <c r="K1069" s="39"/>
      <c r="L1069" s="40"/>
      <c r="M1069" s="28"/>
      <c r="N1069" s="10"/>
      <c r="O1069" s="15"/>
      <c r="P1069" s="16"/>
      <c r="Q1069" s="15"/>
      <c r="R1069" s="17"/>
    </row>
    <row r="1070">
      <c r="A1070" s="38"/>
      <c r="B1070" s="8"/>
      <c r="C1070" s="9"/>
      <c r="D1070" s="8"/>
      <c r="E1070" s="8"/>
      <c r="F1070" s="8"/>
      <c r="G1070" s="9"/>
      <c r="H1070" s="8"/>
      <c r="I1070" s="8"/>
      <c r="J1070" s="11"/>
      <c r="K1070" s="39"/>
      <c r="L1070" s="40"/>
      <c r="M1070" s="28"/>
      <c r="N1070" s="10"/>
      <c r="O1070" s="15"/>
      <c r="P1070" s="16"/>
      <c r="Q1070" s="15"/>
      <c r="R1070" s="17"/>
    </row>
    <row r="1071">
      <c r="A1071" s="38"/>
      <c r="B1071" s="8"/>
      <c r="C1071" s="9"/>
      <c r="D1071" s="8"/>
      <c r="E1071" s="8"/>
      <c r="F1071" s="8"/>
      <c r="G1071" s="9"/>
      <c r="H1071" s="8"/>
      <c r="I1071" s="8"/>
      <c r="J1071" s="11"/>
      <c r="K1071" s="39"/>
      <c r="L1071" s="40"/>
      <c r="M1071" s="28"/>
      <c r="N1071" s="10"/>
      <c r="O1071" s="15"/>
      <c r="P1071" s="16"/>
      <c r="Q1071" s="15"/>
      <c r="R1071" s="17"/>
    </row>
    <row r="1072">
      <c r="A1072" s="38"/>
      <c r="B1072" s="8"/>
      <c r="C1072" s="9"/>
      <c r="D1072" s="8"/>
      <c r="E1072" s="8"/>
      <c r="F1072" s="8"/>
      <c r="G1072" s="9"/>
      <c r="H1072" s="8"/>
      <c r="I1072" s="8"/>
      <c r="J1072" s="11"/>
      <c r="K1072" s="39"/>
      <c r="L1072" s="40"/>
      <c r="M1072" s="28"/>
      <c r="N1072" s="10"/>
      <c r="O1072" s="15"/>
      <c r="P1072" s="16"/>
      <c r="Q1072" s="15"/>
      <c r="R1072" s="17"/>
    </row>
    <row r="1073">
      <c r="A1073" s="38"/>
      <c r="B1073" s="8"/>
      <c r="C1073" s="9"/>
      <c r="D1073" s="8"/>
      <c r="E1073" s="8"/>
      <c r="F1073" s="8"/>
      <c r="G1073" s="9"/>
      <c r="H1073" s="8"/>
      <c r="I1073" s="8"/>
      <c r="J1073" s="11"/>
      <c r="K1073" s="39"/>
      <c r="L1073" s="40"/>
      <c r="M1073" s="28"/>
      <c r="N1073" s="10"/>
      <c r="O1073" s="15"/>
      <c r="P1073" s="16"/>
      <c r="Q1073" s="15"/>
      <c r="R1073" s="17"/>
    </row>
    <row r="1074">
      <c r="A1074" s="38"/>
      <c r="B1074" s="8"/>
      <c r="C1074" s="9"/>
      <c r="D1074" s="8"/>
      <c r="E1074" s="8"/>
      <c r="F1074" s="8"/>
      <c r="G1074" s="9"/>
      <c r="H1074" s="8"/>
      <c r="I1074" s="8"/>
      <c r="J1074" s="11"/>
      <c r="K1074" s="39"/>
      <c r="L1074" s="40"/>
      <c r="M1074" s="28"/>
      <c r="N1074" s="10"/>
      <c r="O1074" s="15"/>
      <c r="P1074" s="16"/>
      <c r="Q1074" s="15"/>
      <c r="R1074" s="17"/>
    </row>
    <row r="1075">
      <c r="A1075" s="38"/>
      <c r="B1075" s="8"/>
      <c r="C1075" s="9"/>
      <c r="D1075" s="8"/>
      <c r="E1075" s="8"/>
      <c r="F1075" s="8"/>
      <c r="G1075" s="9"/>
      <c r="H1075" s="8"/>
      <c r="I1075" s="8"/>
      <c r="J1075" s="11"/>
      <c r="K1075" s="39"/>
      <c r="L1075" s="40"/>
      <c r="M1075" s="28"/>
      <c r="N1075" s="10"/>
      <c r="O1075" s="15"/>
      <c r="P1075" s="16"/>
      <c r="Q1075" s="15"/>
      <c r="R1075" s="17"/>
    </row>
    <row r="1076">
      <c r="A1076" s="38"/>
      <c r="B1076" s="8"/>
      <c r="C1076" s="9"/>
      <c r="D1076" s="8"/>
      <c r="E1076" s="8"/>
      <c r="F1076" s="8"/>
      <c r="G1076" s="9"/>
      <c r="H1076" s="8"/>
      <c r="I1076" s="8"/>
      <c r="J1076" s="11"/>
      <c r="K1076" s="39"/>
      <c r="L1076" s="40"/>
      <c r="M1076" s="28"/>
      <c r="N1076" s="10"/>
      <c r="O1076" s="15"/>
      <c r="P1076" s="16"/>
      <c r="Q1076" s="15"/>
      <c r="R1076" s="17"/>
    </row>
    <row r="1077">
      <c r="A1077" s="38"/>
      <c r="B1077" s="8"/>
      <c r="C1077" s="9"/>
      <c r="D1077" s="8"/>
      <c r="E1077" s="8"/>
      <c r="F1077" s="8"/>
      <c r="G1077" s="9"/>
      <c r="H1077" s="8"/>
      <c r="I1077" s="8"/>
      <c r="J1077" s="11"/>
      <c r="K1077" s="39"/>
      <c r="L1077" s="40"/>
      <c r="M1077" s="28"/>
      <c r="N1077" s="10"/>
      <c r="O1077" s="15"/>
      <c r="P1077" s="16"/>
      <c r="Q1077" s="15"/>
      <c r="R1077" s="17"/>
    </row>
    <row r="1078">
      <c r="A1078" s="38"/>
      <c r="B1078" s="8"/>
      <c r="C1078" s="9"/>
      <c r="D1078" s="8"/>
      <c r="E1078" s="8"/>
      <c r="F1078" s="8"/>
      <c r="G1078" s="9"/>
      <c r="H1078" s="8"/>
      <c r="I1078" s="8"/>
      <c r="J1078" s="11"/>
      <c r="K1078" s="39"/>
      <c r="L1078" s="40"/>
      <c r="M1078" s="28"/>
      <c r="N1078" s="10"/>
      <c r="O1078" s="15"/>
      <c r="P1078" s="16"/>
      <c r="Q1078" s="15"/>
      <c r="R1078" s="17"/>
    </row>
    <row r="1079">
      <c r="A1079" s="38"/>
      <c r="B1079" s="8"/>
      <c r="C1079" s="9"/>
      <c r="D1079" s="8"/>
      <c r="E1079" s="8"/>
      <c r="F1079" s="8"/>
      <c r="G1079" s="9"/>
      <c r="H1079" s="8"/>
      <c r="I1079" s="8"/>
      <c r="J1079" s="11"/>
      <c r="K1079" s="39"/>
      <c r="L1079" s="40"/>
      <c r="M1079" s="28"/>
      <c r="N1079" s="10"/>
      <c r="O1079" s="15"/>
      <c r="P1079" s="16"/>
      <c r="Q1079" s="15"/>
      <c r="R1079" s="17"/>
    </row>
    <row r="1080">
      <c r="A1080" s="38"/>
      <c r="B1080" s="8"/>
      <c r="C1080" s="9"/>
      <c r="D1080" s="8"/>
      <c r="E1080" s="8"/>
      <c r="F1080" s="8"/>
      <c r="G1080" s="9"/>
      <c r="H1080" s="8"/>
      <c r="I1080" s="8"/>
      <c r="J1080" s="11"/>
      <c r="K1080" s="39"/>
      <c r="L1080" s="40"/>
      <c r="M1080" s="28"/>
      <c r="N1080" s="10"/>
      <c r="O1080" s="15"/>
      <c r="P1080" s="16"/>
      <c r="Q1080" s="15"/>
      <c r="R1080" s="17"/>
    </row>
    <row r="1081">
      <c r="A1081" s="38"/>
      <c r="B1081" s="8"/>
      <c r="C1081" s="9"/>
      <c r="D1081" s="8"/>
      <c r="E1081" s="8"/>
      <c r="F1081" s="8"/>
      <c r="G1081" s="9"/>
      <c r="H1081" s="8"/>
      <c r="I1081" s="8"/>
      <c r="J1081" s="11"/>
      <c r="K1081" s="39"/>
      <c r="L1081" s="40"/>
      <c r="M1081" s="28"/>
      <c r="N1081" s="10"/>
      <c r="O1081" s="15"/>
      <c r="P1081" s="16"/>
      <c r="Q1081" s="15"/>
      <c r="R1081" s="17"/>
    </row>
    <row r="1082">
      <c r="A1082" s="38"/>
      <c r="B1082" s="8"/>
      <c r="C1082" s="9"/>
      <c r="D1082" s="8"/>
      <c r="E1082" s="8"/>
      <c r="F1082" s="8"/>
      <c r="G1082" s="9"/>
      <c r="H1082" s="8"/>
      <c r="I1082" s="8"/>
      <c r="J1082" s="11"/>
      <c r="K1082" s="39"/>
      <c r="L1082" s="40"/>
      <c r="M1082" s="28"/>
      <c r="N1082" s="10"/>
      <c r="O1082" s="15"/>
      <c r="P1082" s="16"/>
      <c r="Q1082" s="15"/>
      <c r="R1082" s="17"/>
    </row>
    <row r="1083">
      <c r="A1083" s="38"/>
      <c r="B1083" s="8"/>
      <c r="C1083" s="9"/>
      <c r="D1083" s="8"/>
      <c r="E1083" s="8"/>
      <c r="F1083" s="8"/>
      <c r="G1083" s="9"/>
      <c r="H1083" s="8"/>
      <c r="I1083" s="8"/>
      <c r="J1083" s="11"/>
      <c r="K1083" s="39"/>
      <c r="L1083" s="40"/>
      <c r="M1083" s="28"/>
      <c r="N1083" s="10"/>
      <c r="O1083" s="15"/>
      <c r="P1083" s="16"/>
      <c r="Q1083" s="15"/>
      <c r="R1083" s="17"/>
    </row>
    <row r="1084">
      <c r="A1084" s="38"/>
      <c r="B1084" s="8"/>
      <c r="C1084" s="9"/>
      <c r="D1084" s="8"/>
      <c r="E1084" s="8"/>
      <c r="F1084" s="8"/>
      <c r="G1084" s="9"/>
      <c r="H1084" s="8"/>
      <c r="I1084" s="8"/>
      <c r="J1084" s="11"/>
      <c r="K1084" s="39"/>
      <c r="L1084" s="40"/>
      <c r="M1084" s="28"/>
      <c r="N1084" s="10"/>
      <c r="O1084" s="15"/>
      <c r="P1084" s="16"/>
      <c r="Q1084" s="15"/>
      <c r="R1084" s="17"/>
    </row>
    <row r="1085">
      <c r="A1085" s="38"/>
      <c r="B1085" s="8"/>
      <c r="C1085" s="9"/>
      <c r="D1085" s="8"/>
      <c r="E1085" s="8"/>
      <c r="F1085" s="8"/>
      <c r="G1085" s="9"/>
      <c r="H1085" s="8"/>
      <c r="I1085" s="8"/>
      <c r="J1085" s="11"/>
      <c r="K1085" s="39"/>
      <c r="L1085" s="40"/>
      <c r="M1085" s="28"/>
      <c r="N1085" s="10"/>
      <c r="O1085" s="15"/>
      <c r="P1085" s="16"/>
      <c r="Q1085" s="15"/>
      <c r="R1085" s="17"/>
    </row>
    <row r="1086">
      <c r="A1086" s="38"/>
      <c r="B1086" s="8"/>
      <c r="C1086" s="9"/>
      <c r="D1086" s="8"/>
      <c r="E1086" s="8"/>
      <c r="F1086" s="8"/>
      <c r="G1086" s="9"/>
      <c r="H1086" s="8"/>
      <c r="I1086" s="8"/>
      <c r="J1086" s="11"/>
      <c r="K1086" s="39"/>
      <c r="L1086" s="40"/>
      <c r="M1086" s="28"/>
      <c r="N1086" s="10"/>
      <c r="O1086" s="15"/>
      <c r="P1086" s="16"/>
      <c r="Q1086" s="15"/>
      <c r="R1086" s="17"/>
    </row>
    <row r="1087">
      <c r="A1087" s="38"/>
      <c r="B1087" s="8"/>
      <c r="C1087" s="9"/>
      <c r="D1087" s="8"/>
      <c r="E1087" s="8"/>
      <c r="F1087" s="8"/>
      <c r="G1087" s="9"/>
      <c r="H1087" s="8"/>
      <c r="I1087" s="8"/>
      <c r="J1087" s="11"/>
      <c r="K1087" s="39"/>
      <c r="L1087" s="40"/>
      <c r="M1087" s="28"/>
      <c r="N1087" s="10"/>
      <c r="O1087" s="15"/>
      <c r="P1087" s="16"/>
      <c r="Q1087" s="15"/>
      <c r="R1087" s="17"/>
    </row>
    <row r="1088">
      <c r="A1088" s="38"/>
      <c r="B1088" s="8"/>
      <c r="C1088" s="9"/>
      <c r="D1088" s="8"/>
      <c r="E1088" s="8"/>
      <c r="F1088" s="8"/>
      <c r="G1088" s="9"/>
      <c r="H1088" s="8"/>
      <c r="I1088" s="8"/>
      <c r="J1088" s="11"/>
      <c r="K1088" s="39"/>
      <c r="L1088" s="40"/>
      <c r="M1088" s="28"/>
      <c r="N1088" s="10"/>
      <c r="O1088" s="15"/>
      <c r="P1088" s="16"/>
      <c r="Q1088" s="15"/>
      <c r="R1088" s="17"/>
    </row>
    <row r="1089">
      <c r="A1089" s="38"/>
      <c r="B1089" s="8"/>
      <c r="C1089" s="9"/>
      <c r="D1089" s="8"/>
      <c r="E1089" s="8"/>
      <c r="F1089" s="8"/>
      <c r="G1089" s="9"/>
      <c r="H1089" s="8"/>
      <c r="I1089" s="8"/>
      <c r="J1089" s="11"/>
      <c r="K1089" s="39"/>
      <c r="L1089" s="40"/>
      <c r="M1089" s="28"/>
      <c r="N1089" s="10"/>
      <c r="O1089" s="15"/>
      <c r="P1089" s="16"/>
      <c r="Q1089" s="15"/>
      <c r="R1089" s="17"/>
    </row>
    <row r="1090">
      <c r="A1090" s="38"/>
      <c r="B1090" s="8"/>
      <c r="C1090" s="9"/>
      <c r="D1090" s="8"/>
      <c r="E1090" s="8"/>
      <c r="F1090" s="8"/>
      <c r="G1090" s="9"/>
      <c r="H1090" s="8"/>
      <c r="I1090" s="8"/>
      <c r="J1090" s="11"/>
      <c r="K1090" s="39"/>
      <c r="L1090" s="40"/>
      <c r="M1090" s="28"/>
      <c r="N1090" s="10"/>
      <c r="O1090" s="15"/>
      <c r="P1090" s="16"/>
      <c r="Q1090" s="15"/>
      <c r="R1090" s="17"/>
    </row>
    <row r="1091">
      <c r="A1091" s="38"/>
      <c r="B1091" s="8"/>
      <c r="C1091" s="9"/>
      <c r="D1091" s="8"/>
      <c r="E1091" s="8"/>
      <c r="F1091" s="8"/>
      <c r="G1091" s="9"/>
      <c r="H1091" s="8"/>
      <c r="I1091" s="8"/>
      <c r="J1091" s="11"/>
      <c r="K1091" s="39"/>
      <c r="L1091" s="40"/>
      <c r="M1091" s="28"/>
      <c r="N1091" s="10"/>
      <c r="O1091" s="15"/>
      <c r="P1091" s="16"/>
      <c r="Q1091" s="15"/>
      <c r="R1091" s="17"/>
    </row>
    <row r="1092">
      <c r="A1092" s="38"/>
      <c r="B1092" s="8"/>
      <c r="C1092" s="9"/>
      <c r="D1092" s="8"/>
      <c r="E1092" s="8"/>
      <c r="F1092" s="8"/>
      <c r="G1092" s="9"/>
      <c r="H1092" s="8"/>
      <c r="I1092" s="8"/>
      <c r="J1092" s="11"/>
      <c r="K1092" s="39"/>
      <c r="L1092" s="40"/>
      <c r="M1092" s="28"/>
      <c r="N1092" s="10"/>
      <c r="O1092" s="15"/>
      <c r="P1092" s="16"/>
      <c r="Q1092" s="15"/>
      <c r="R1092" s="17"/>
    </row>
    <row r="1093">
      <c r="A1093" s="38"/>
      <c r="B1093" s="8"/>
      <c r="C1093" s="9"/>
      <c r="D1093" s="8"/>
      <c r="E1093" s="8"/>
      <c r="F1093" s="8"/>
      <c r="G1093" s="9"/>
      <c r="H1093" s="8"/>
      <c r="I1093" s="8"/>
      <c r="J1093" s="11"/>
      <c r="K1093" s="39"/>
      <c r="L1093" s="40"/>
      <c r="M1093" s="28"/>
      <c r="N1093" s="10"/>
      <c r="O1093" s="15"/>
      <c r="P1093" s="16"/>
      <c r="Q1093" s="15"/>
      <c r="R1093" s="17"/>
    </row>
    <row r="1094">
      <c r="A1094" s="38"/>
      <c r="B1094" s="8"/>
      <c r="C1094" s="9"/>
      <c r="D1094" s="8"/>
      <c r="E1094" s="8"/>
      <c r="F1094" s="8"/>
      <c r="G1094" s="9"/>
      <c r="H1094" s="8"/>
      <c r="I1094" s="8"/>
      <c r="J1094" s="11"/>
      <c r="K1094" s="39"/>
      <c r="L1094" s="40"/>
      <c r="M1094" s="28"/>
      <c r="N1094" s="10"/>
      <c r="O1094" s="15"/>
      <c r="P1094" s="16"/>
      <c r="Q1094" s="15"/>
      <c r="R1094" s="17"/>
    </row>
    <row r="1095">
      <c r="A1095" s="38"/>
      <c r="B1095" s="8"/>
      <c r="C1095" s="9"/>
      <c r="D1095" s="8"/>
      <c r="E1095" s="8"/>
      <c r="F1095" s="8"/>
      <c r="G1095" s="9"/>
      <c r="H1095" s="8"/>
      <c r="I1095" s="8"/>
      <c r="J1095" s="11"/>
      <c r="K1095" s="39"/>
      <c r="L1095" s="40"/>
      <c r="M1095" s="28"/>
      <c r="N1095" s="10"/>
      <c r="O1095" s="15"/>
      <c r="P1095" s="16"/>
      <c r="Q1095" s="15"/>
      <c r="R1095" s="17"/>
    </row>
    <row r="1096">
      <c r="A1096" s="38"/>
      <c r="B1096" s="8"/>
      <c r="C1096" s="9"/>
      <c r="D1096" s="8"/>
      <c r="E1096" s="8"/>
      <c r="F1096" s="8"/>
      <c r="G1096" s="9"/>
      <c r="H1096" s="8"/>
      <c r="I1096" s="8"/>
      <c r="J1096" s="11"/>
      <c r="K1096" s="39"/>
      <c r="L1096" s="40"/>
      <c r="M1096" s="28"/>
      <c r="N1096" s="10"/>
      <c r="O1096" s="15"/>
      <c r="P1096" s="16"/>
      <c r="Q1096" s="15"/>
      <c r="R1096" s="17"/>
    </row>
    <row r="1097">
      <c r="A1097" s="38"/>
      <c r="B1097" s="8"/>
      <c r="C1097" s="9"/>
      <c r="D1097" s="8"/>
      <c r="E1097" s="8"/>
      <c r="F1097" s="8"/>
      <c r="G1097" s="9"/>
      <c r="H1097" s="8"/>
      <c r="I1097" s="8"/>
      <c r="J1097" s="11"/>
      <c r="K1097" s="39"/>
      <c r="L1097" s="40"/>
      <c r="M1097" s="28"/>
      <c r="N1097" s="10"/>
      <c r="O1097" s="15"/>
      <c r="P1097" s="16"/>
      <c r="Q1097" s="15"/>
      <c r="R1097" s="17"/>
    </row>
    <row r="1098">
      <c r="A1098" s="38"/>
      <c r="B1098" s="8"/>
      <c r="C1098" s="9"/>
      <c r="D1098" s="8"/>
      <c r="E1098" s="8"/>
      <c r="F1098" s="8"/>
      <c r="G1098" s="9"/>
      <c r="H1098" s="8"/>
      <c r="I1098" s="8"/>
      <c r="J1098" s="11"/>
      <c r="K1098" s="39"/>
      <c r="L1098" s="40"/>
      <c r="M1098" s="28"/>
      <c r="N1098" s="10"/>
      <c r="O1098" s="15"/>
      <c r="P1098" s="16"/>
      <c r="Q1098" s="15"/>
      <c r="R1098" s="17"/>
    </row>
    <row r="1099">
      <c r="A1099" s="38"/>
      <c r="B1099" s="8"/>
      <c r="C1099" s="9"/>
      <c r="D1099" s="8"/>
      <c r="E1099" s="8"/>
      <c r="F1099" s="8"/>
      <c r="G1099" s="9"/>
      <c r="H1099" s="8"/>
      <c r="I1099" s="8"/>
      <c r="J1099" s="11"/>
      <c r="K1099" s="39"/>
      <c r="L1099" s="40"/>
      <c r="M1099" s="28"/>
      <c r="N1099" s="10"/>
      <c r="O1099" s="15"/>
      <c r="P1099" s="16"/>
      <c r="Q1099" s="15"/>
      <c r="R1099" s="17"/>
    </row>
    <row r="1100">
      <c r="A1100" s="38"/>
      <c r="B1100" s="8"/>
      <c r="C1100" s="9"/>
      <c r="D1100" s="8"/>
      <c r="E1100" s="8"/>
      <c r="F1100" s="8"/>
      <c r="G1100" s="9"/>
      <c r="H1100" s="8"/>
      <c r="I1100" s="8"/>
      <c r="J1100" s="11"/>
      <c r="K1100" s="39"/>
      <c r="L1100" s="40"/>
      <c r="M1100" s="28"/>
      <c r="N1100" s="10"/>
      <c r="O1100" s="15"/>
      <c r="P1100" s="16"/>
      <c r="Q1100" s="15"/>
      <c r="R1100" s="17"/>
    </row>
    <row r="1101">
      <c r="A1101" s="38"/>
      <c r="B1101" s="8"/>
      <c r="C1101" s="9"/>
      <c r="D1101" s="8"/>
      <c r="E1101" s="8"/>
      <c r="F1101" s="8"/>
      <c r="G1101" s="9"/>
      <c r="H1101" s="8"/>
      <c r="I1101" s="8"/>
      <c r="J1101" s="11"/>
      <c r="K1101" s="39"/>
      <c r="L1101" s="40"/>
      <c r="M1101" s="28"/>
      <c r="N1101" s="10"/>
      <c r="O1101" s="15"/>
      <c r="P1101" s="16"/>
      <c r="Q1101" s="15"/>
      <c r="R1101" s="17"/>
    </row>
    <row r="1102">
      <c r="A1102" s="38"/>
      <c r="B1102" s="8"/>
      <c r="C1102" s="9"/>
      <c r="D1102" s="8"/>
      <c r="E1102" s="8"/>
      <c r="F1102" s="8"/>
      <c r="G1102" s="9"/>
      <c r="H1102" s="8"/>
      <c r="I1102" s="8"/>
      <c r="J1102" s="11"/>
      <c r="K1102" s="39"/>
      <c r="L1102" s="40"/>
      <c r="M1102" s="28"/>
      <c r="N1102" s="10"/>
      <c r="O1102" s="15"/>
      <c r="P1102" s="16"/>
      <c r="Q1102" s="15"/>
      <c r="R1102" s="17"/>
    </row>
    <row r="1103">
      <c r="A1103" s="38"/>
      <c r="B1103" s="8"/>
      <c r="C1103" s="9"/>
      <c r="D1103" s="8"/>
      <c r="E1103" s="8"/>
      <c r="F1103" s="8"/>
      <c r="G1103" s="9"/>
      <c r="H1103" s="8"/>
      <c r="I1103" s="8"/>
      <c r="J1103" s="11"/>
      <c r="K1103" s="39"/>
      <c r="L1103" s="40"/>
      <c r="M1103" s="28"/>
      <c r="N1103" s="10"/>
      <c r="O1103" s="15"/>
      <c r="P1103" s="16"/>
      <c r="Q1103" s="15"/>
      <c r="R1103" s="17"/>
    </row>
    <row r="1104">
      <c r="A1104" s="38"/>
      <c r="B1104" s="8"/>
      <c r="C1104" s="9"/>
      <c r="D1104" s="8"/>
      <c r="E1104" s="8"/>
      <c r="F1104" s="8"/>
      <c r="G1104" s="9"/>
      <c r="H1104" s="8"/>
      <c r="I1104" s="8"/>
      <c r="J1104" s="11"/>
      <c r="K1104" s="39"/>
      <c r="L1104" s="40"/>
      <c r="M1104" s="28"/>
      <c r="N1104" s="10"/>
      <c r="O1104" s="15"/>
      <c r="P1104" s="16"/>
      <c r="Q1104" s="15"/>
      <c r="R1104" s="17"/>
    </row>
    <row r="1105">
      <c r="A1105" s="38"/>
      <c r="B1105" s="8"/>
      <c r="C1105" s="9"/>
      <c r="D1105" s="8"/>
      <c r="E1105" s="8"/>
      <c r="F1105" s="8"/>
      <c r="G1105" s="9"/>
      <c r="H1105" s="8"/>
      <c r="I1105" s="8"/>
      <c r="J1105" s="11"/>
      <c r="K1105" s="39"/>
      <c r="L1105" s="40"/>
      <c r="M1105" s="28"/>
      <c r="N1105" s="10"/>
      <c r="O1105" s="15"/>
      <c r="P1105" s="16"/>
      <c r="Q1105" s="15"/>
      <c r="R1105" s="17"/>
    </row>
    <row r="1106">
      <c r="A1106" s="38"/>
      <c r="B1106" s="8"/>
      <c r="C1106" s="9"/>
      <c r="D1106" s="8"/>
      <c r="E1106" s="8"/>
      <c r="F1106" s="8"/>
      <c r="G1106" s="9"/>
      <c r="H1106" s="8"/>
      <c r="I1106" s="8"/>
      <c r="J1106" s="11"/>
      <c r="K1106" s="39"/>
      <c r="L1106" s="40"/>
      <c r="M1106" s="28"/>
      <c r="N1106" s="10"/>
      <c r="O1106" s="15"/>
      <c r="P1106" s="16"/>
      <c r="Q1106" s="15"/>
      <c r="R1106" s="17"/>
    </row>
    <row r="1107">
      <c r="A1107" s="38"/>
      <c r="B1107" s="8"/>
      <c r="C1107" s="9"/>
      <c r="D1107" s="8"/>
      <c r="E1107" s="8"/>
      <c r="F1107" s="8"/>
      <c r="G1107" s="9"/>
      <c r="H1107" s="8"/>
      <c r="I1107" s="8"/>
      <c r="J1107" s="11"/>
      <c r="K1107" s="39"/>
      <c r="L1107" s="40"/>
      <c r="M1107" s="28"/>
      <c r="N1107" s="10"/>
      <c r="O1107" s="15"/>
      <c r="P1107" s="16"/>
      <c r="Q1107" s="15"/>
      <c r="R1107" s="17"/>
    </row>
    <row r="1108">
      <c r="A1108" s="38"/>
      <c r="B1108" s="8"/>
      <c r="C1108" s="9"/>
      <c r="D1108" s="8"/>
      <c r="E1108" s="8"/>
      <c r="F1108" s="8"/>
      <c r="G1108" s="9"/>
      <c r="H1108" s="8"/>
      <c r="I1108" s="8"/>
      <c r="J1108" s="11"/>
      <c r="K1108" s="39"/>
      <c r="L1108" s="40"/>
      <c r="M1108" s="28"/>
      <c r="N1108" s="10"/>
      <c r="O1108" s="15"/>
      <c r="P1108" s="16"/>
      <c r="Q1108" s="15"/>
      <c r="R1108" s="17"/>
    </row>
    <row r="1109">
      <c r="A1109" s="38"/>
      <c r="B1109" s="8"/>
      <c r="C1109" s="9"/>
      <c r="D1109" s="8"/>
      <c r="E1109" s="8"/>
      <c r="F1109" s="8"/>
      <c r="G1109" s="9"/>
      <c r="H1109" s="8"/>
      <c r="I1109" s="8"/>
      <c r="J1109" s="11"/>
      <c r="K1109" s="39"/>
      <c r="L1109" s="40"/>
      <c r="M1109" s="28"/>
      <c r="N1109" s="10"/>
      <c r="O1109" s="15"/>
      <c r="P1109" s="16"/>
      <c r="Q1109" s="15"/>
      <c r="R1109" s="17"/>
    </row>
    <row r="1110">
      <c r="A1110" s="38"/>
      <c r="B1110" s="8"/>
      <c r="C1110" s="9"/>
      <c r="D1110" s="8"/>
      <c r="E1110" s="8"/>
      <c r="F1110" s="8"/>
      <c r="G1110" s="9"/>
      <c r="H1110" s="8"/>
      <c r="I1110" s="8"/>
      <c r="J1110" s="11"/>
      <c r="K1110" s="39"/>
      <c r="L1110" s="40"/>
      <c r="M1110" s="28"/>
      <c r="N1110" s="10"/>
      <c r="O1110" s="15"/>
      <c r="P1110" s="16"/>
      <c r="Q1110" s="15"/>
      <c r="R1110" s="17"/>
    </row>
    <row r="1111">
      <c r="A1111" s="38"/>
      <c r="B1111" s="8"/>
      <c r="C1111" s="9"/>
      <c r="D1111" s="8"/>
      <c r="E1111" s="8"/>
      <c r="F1111" s="8"/>
      <c r="G1111" s="9"/>
      <c r="H1111" s="8"/>
      <c r="I1111" s="8"/>
      <c r="J1111" s="11"/>
      <c r="K1111" s="39"/>
      <c r="L1111" s="40"/>
      <c r="M1111" s="28"/>
      <c r="N1111" s="10"/>
      <c r="O1111" s="15"/>
      <c r="P1111" s="16"/>
      <c r="Q1111" s="15"/>
      <c r="R1111" s="17"/>
    </row>
    <row r="1112">
      <c r="A1112" s="38"/>
      <c r="B1112" s="8"/>
      <c r="C1112" s="9"/>
      <c r="D1112" s="8"/>
      <c r="E1112" s="8"/>
      <c r="F1112" s="8"/>
      <c r="G1112" s="9"/>
      <c r="H1112" s="8"/>
      <c r="I1112" s="8"/>
      <c r="J1112" s="11"/>
      <c r="K1112" s="39"/>
      <c r="L1112" s="40"/>
      <c r="M1112" s="28"/>
      <c r="N1112" s="10"/>
      <c r="O1112" s="15"/>
      <c r="P1112" s="16"/>
      <c r="Q1112" s="15"/>
      <c r="R1112" s="17"/>
    </row>
    <row r="1113">
      <c r="A1113" s="38"/>
      <c r="B1113" s="8"/>
      <c r="C1113" s="9"/>
      <c r="D1113" s="8"/>
      <c r="E1113" s="8"/>
      <c r="F1113" s="8"/>
      <c r="G1113" s="9"/>
      <c r="H1113" s="8"/>
      <c r="I1113" s="8"/>
      <c r="J1113" s="11"/>
      <c r="K1113" s="39"/>
      <c r="L1113" s="40"/>
      <c r="M1113" s="28"/>
      <c r="N1113" s="10"/>
      <c r="O1113" s="15"/>
      <c r="P1113" s="16"/>
      <c r="Q1113" s="15"/>
      <c r="R1113" s="17"/>
    </row>
    <row r="1114">
      <c r="A1114" s="38"/>
      <c r="B1114" s="8"/>
      <c r="C1114" s="9"/>
      <c r="D1114" s="8"/>
      <c r="E1114" s="8"/>
      <c r="F1114" s="8"/>
      <c r="G1114" s="9"/>
      <c r="H1114" s="8"/>
      <c r="I1114" s="8"/>
      <c r="J1114" s="11"/>
      <c r="K1114" s="39"/>
      <c r="L1114" s="40"/>
      <c r="M1114" s="28"/>
      <c r="N1114" s="10"/>
      <c r="O1114" s="15"/>
      <c r="P1114" s="16"/>
      <c r="Q1114" s="15"/>
      <c r="R1114" s="17"/>
    </row>
    <row r="1115">
      <c r="A1115" s="38"/>
      <c r="B1115" s="8"/>
      <c r="C1115" s="9"/>
      <c r="D1115" s="8"/>
      <c r="E1115" s="8"/>
      <c r="F1115" s="8"/>
      <c r="G1115" s="9"/>
      <c r="H1115" s="8"/>
      <c r="I1115" s="8"/>
      <c r="J1115" s="11"/>
      <c r="K1115" s="39"/>
      <c r="L1115" s="40"/>
      <c r="M1115" s="28"/>
      <c r="N1115" s="10"/>
      <c r="O1115" s="15"/>
      <c r="P1115" s="16"/>
      <c r="Q1115" s="15"/>
      <c r="R1115" s="17"/>
    </row>
    <row r="1116">
      <c r="A1116" s="38"/>
      <c r="B1116" s="8"/>
      <c r="C1116" s="9"/>
      <c r="D1116" s="8"/>
      <c r="E1116" s="8"/>
      <c r="F1116" s="8"/>
      <c r="G1116" s="9"/>
      <c r="H1116" s="8"/>
      <c r="I1116" s="8"/>
      <c r="J1116" s="11"/>
      <c r="K1116" s="39"/>
      <c r="L1116" s="40"/>
      <c r="M1116" s="28"/>
      <c r="N1116" s="10"/>
      <c r="O1116" s="15"/>
      <c r="P1116" s="16"/>
      <c r="Q1116" s="15"/>
      <c r="R1116" s="17"/>
    </row>
    <row r="1117">
      <c r="A1117" s="38"/>
      <c r="B1117" s="8"/>
      <c r="C1117" s="9"/>
      <c r="D1117" s="8"/>
      <c r="E1117" s="8"/>
      <c r="F1117" s="8"/>
      <c r="G1117" s="9"/>
      <c r="H1117" s="8"/>
      <c r="I1117" s="8"/>
      <c r="J1117" s="11"/>
      <c r="K1117" s="39"/>
      <c r="L1117" s="40"/>
      <c r="M1117" s="28"/>
      <c r="N1117" s="10"/>
      <c r="O1117" s="15"/>
      <c r="P1117" s="16"/>
      <c r="Q1117" s="15"/>
      <c r="R1117" s="17"/>
    </row>
    <row r="1118">
      <c r="A1118" s="38"/>
      <c r="B1118" s="8"/>
      <c r="C1118" s="9"/>
      <c r="D1118" s="8"/>
      <c r="E1118" s="8"/>
      <c r="F1118" s="8"/>
      <c r="G1118" s="9"/>
      <c r="H1118" s="8"/>
      <c r="I1118" s="8"/>
      <c r="J1118" s="11"/>
      <c r="K1118" s="39"/>
      <c r="L1118" s="40"/>
      <c r="M1118" s="28"/>
      <c r="N1118" s="10"/>
      <c r="O1118" s="15"/>
      <c r="P1118" s="16"/>
      <c r="Q1118" s="15"/>
      <c r="R1118" s="17"/>
    </row>
    <row r="1119">
      <c r="A1119" s="38"/>
      <c r="B1119" s="8"/>
      <c r="C1119" s="9"/>
      <c r="D1119" s="8"/>
      <c r="E1119" s="8"/>
      <c r="F1119" s="8"/>
      <c r="G1119" s="9"/>
      <c r="H1119" s="8"/>
      <c r="I1119" s="8"/>
      <c r="J1119" s="11"/>
      <c r="K1119" s="39"/>
      <c r="L1119" s="40"/>
      <c r="M1119" s="28"/>
      <c r="N1119" s="10"/>
      <c r="O1119" s="15"/>
      <c r="P1119" s="16"/>
      <c r="Q1119" s="15"/>
      <c r="R1119" s="17"/>
    </row>
    <row r="1120">
      <c r="A1120" s="38"/>
      <c r="B1120" s="8"/>
      <c r="C1120" s="9"/>
      <c r="D1120" s="8"/>
      <c r="E1120" s="8"/>
      <c r="F1120" s="8"/>
      <c r="G1120" s="9"/>
      <c r="H1120" s="8"/>
      <c r="I1120" s="8"/>
      <c r="J1120" s="11"/>
      <c r="K1120" s="39"/>
      <c r="L1120" s="40"/>
      <c r="M1120" s="28"/>
      <c r="N1120" s="10"/>
      <c r="O1120" s="15"/>
      <c r="P1120" s="16"/>
      <c r="Q1120" s="15"/>
      <c r="R1120" s="17"/>
    </row>
    <row r="1121">
      <c r="A1121" s="38"/>
      <c r="B1121" s="8"/>
      <c r="C1121" s="9"/>
      <c r="D1121" s="8"/>
      <c r="E1121" s="8"/>
      <c r="F1121" s="8"/>
      <c r="G1121" s="9"/>
      <c r="H1121" s="8"/>
      <c r="I1121" s="8"/>
      <c r="J1121" s="11"/>
      <c r="K1121" s="39"/>
      <c r="L1121" s="40"/>
      <c r="M1121" s="28"/>
      <c r="N1121" s="10"/>
      <c r="O1121" s="15"/>
      <c r="P1121" s="16"/>
      <c r="Q1121" s="15"/>
      <c r="R1121" s="17"/>
    </row>
    <row r="1122">
      <c r="A1122" s="38"/>
      <c r="B1122" s="8"/>
      <c r="C1122" s="9"/>
      <c r="D1122" s="8"/>
      <c r="E1122" s="8"/>
      <c r="F1122" s="8"/>
      <c r="G1122" s="9"/>
      <c r="H1122" s="8"/>
      <c r="I1122" s="8"/>
      <c r="J1122" s="11"/>
      <c r="K1122" s="39"/>
      <c r="L1122" s="40"/>
      <c r="M1122" s="28"/>
      <c r="N1122" s="10"/>
      <c r="O1122" s="15"/>
      <c r="P1122" s="16"/>
      <c r="Q1122" s="15"/>
      <c r="R1122" s="17"/>
    </row>
    <row r="1123">
      <c r="A1123" s="38"/>
      <c r="B1123" s="8"/>
      <c r="C1123" s="9"/>
      <c r="D1123" s="8"/>
      <c r="E1123" s="8"/>
      <c r="F1123" s="8"/>
      <c r="G1123" s="9"/>
      <c r="H1123" s="8"/>
      <c r="I1123" s="8"/>
      <c r="J1123" s="11"/>
      <c r="K1123" s="39"/>
      <c r="L1123" s="40"/>
      <c r="M1123" s="28"/>
      <c r="N1123" s="10"/>
      <c r="O1123" s="15"/>
      <c r="P1123" s="16"/>
      <c r="Q1123" s="15"/>
      <c r="R1123" s="17"/>
    </row>
    <row r="1124">
      <c r="A1124" s="38"/>
      <c r="B1124" s="8"/>
      <c r="C1124" s="9"/>
      <c r="D1124" s="8"/>
      <c r="E1124" s="8"/>
      <c r="F1124" s="8"/>
      <c r="G1124" s="9"/>
      <c r="H1124" s="8"/>
      <c r="I1124" s="8"/>
      <c r="J1124" s="11"/>
      <c r="K1124" s="39"/>
      <c r="L1124" s="40"/>
      <c r="M1124" s="28"/>
      <c r="N1124" s="10"/>
      <c r="O1124" s="15"/>
      <c r="P1124" s="16"/>
      <c r="Q1124" s="15"/>
      <c r="R1124" s="17"/>
    </row>
    <row r="1125">
      <c r="A1125" s="38"/>
      <c r="B1125" s="8"/>
      <c r="C1125" s="9"/>
      <c r="D1125" s="8"/>
      <c r="E1125" s="8"/>
      <c r="F1125" s="8"/>
      <c r="G1125" s="9"/>
      <c r="H1125" s="8"/>
      <c r="I1125" s="8"/>
      <c r="J1125" s="11"/>
      <c r="K1125" s="39"/>
      <c r="L1125" s="40"/>
      <c r="M1125" s="28"/>
      <c r="N1125" s="10"/>
      <c r="O1125" s="15"/>
      <c r="P1125" s="16"/>
      <c r="Q1125" s="15"/>
      <c r="R1125" s="17"/>
    </row>
    <row r="1126">
      <c r="A1126" s="38"/>
      <c r="B1126" s="8"/>
      <c r="C1126" s="9"/>
      <c r="D1126" s="8"/>
      <c r="E1126" s="8"/>
      <c r="F1126" s="8"/>
      <c r="G1126" s="9"/>
      <c r="H1126" s="8"/>
      <c r="I1126" s="8"/>
      <c r="J1126" s="11"/>
      <c r="K1126" s="39"/>
      <c r="L1126" s="40"/>
      <c r="M1126" s="28"/>
      <c r="N1126" s="10"/>
      <c r="O1126" s="15"/>
      <c r="P1126" s="16"/>
      <c r="Q1126" s="15"/>
      <c r="R1126" s="17"/>
    </row>
    <row r="1127">
      <c r="A1127" s="38"/>
      <c r="B1127" s="8"/>
      <c r="C1127" s="9"/>
      <c r="D1127" s="8"/>
      <c r="E1127" s="8"/>
      <c r="F1127" s="8"/>
      <c r="G1127" s="9"/>
      <c r="H1127" s="8"/>
      <c r="I1127" s="8"/>
      <c r="J1127" s="11"/>
      <c r="K1127" s="39"/>
      <c r="L1127" s="40"/>
      <c r="M1127" s="28"/>
      <c r="N1127" s="10"/>
      <c r="O1127" s="15"/>
      <c r="P1127" s="16"/>
      <c r="Q1127" s="15"/>
      <c r="R1127" s="17"/>
    </row>
    <row r="1128">
      <c r="A1128" s="38"/>
      <c r="B1128" s="8"/>
      <c r="C1128" s="9"/>
      <c r="D1128" s="8"/>
      <c r="E1128" s="8"/>
      <c r="F1128" s="8"/>
      <c r="G1128" s="9"/>
      <c r="H1128" s="8"/>
      <c r="I1128" s="8"/>
      <c r="J1128" s="11"/>
      <c r="K1128" s="39"/>
      <c r="L1128" s="40"/>
      <c r="M1128" s="28"/>
      <c r="N1128" s="10"/>
      <c r="O1128" s="15"/>
      <c r="P1128" s="16"/>
      <c r="Q1128" s="15"/>
      <c r="R1128" s="17"/>
    </row>
    <row r="1129">
      <c r="A1129" s="38"/>
      <c r="B1129" s="8"/>
      <c r="C1129" s="9"/>
      <c r="D1129" s="8"/>
      <c r="E1129" s="8"/>
      <c r="F1129" s="8"/>
      <c r="G1129" s="9"/>
      <c r="H1129" s="8"/>
      <c r="I1129" s="8"/>
      <c r="J1129" s="11"/>
      <c r="K1129" s="39"/>
      <c r="L1129" s="40"/>
      <c r="M1129" s="28"/>
      <c r="N1129" s="10"/>
      <c r="O1129" s="15"/>
      <c r="P1129" s="16"/>
      <c r="Q1129" s="15"/>
      <c r="R1129" s="17"/>
    </row>
    <row r="1130">
      <c r="A1130" s="38"/>
      <c r="B1130" s="8"/>
      <c r="C1130" s="9"/>
      <c r="D1130" s="8"/>
      <c r="E1130" s="8"/>
      <c r="F1130" s="8"/>
      <c r="G1130" s="9"/>
      <c r="H1130" s="8"/>
      <c r="I1130" s="8"/>
      <c r="J1130" s="11"/>
      <c r="K1130" s="39"/>
      <c r="L1130" s="40"/>
      <c r="M1130" s="28"/>
      <c r="N1130" s="10"/>
      <c r="O1130" s="15"/>
      <c r="P1130" s="16"/>
      <c r="Q1130" s="15"/>
      <c r="R1130" s="17"/>
    </row>
    <row r="1131">
      <c r="A1131" s="38"/>
      <c r="B1131" s="8"/>
      <c r="C1131" s="9"/>
      <c r="D1131" s="8"/>
      <c r="E1131" s="8"/>
      <c r="F1131" s="8"/>
      <c r="G1131" s="9"/>
      <c r="H1131" s="8"/>
      <c r="I1131" s="8"/>
      <c r="J1131" s="11"/>
      <c r="K1131" s="39"/>
      <c r="L1131" s="40"/>
      <c r="M1131" s="28"/>
      <c r="N1131" s="10"/>
      <c r="O1131" s="15"/>
      <c r="P1131" s="16"/>
      <c r="Q1131" s="15"/>
      <c r="R1131" s="17"/>
    </row>
    <row r="1132">
      <c r="A1132" s="38"/>
      <c r="B1132" s="8"/>
      <c r="C1132" s="9"/>
      <c r="D1132" s="8"/>
      <c r="E1132" s="8"/>
      <c r="F1132" s="8"/>
      <c r="G1132" s="9"/>
      <c r="H1132" s="8"/>
      <c r="I1132" s="8"/>
      <c r="J1132" s="11"/>
      <c r="K1132" s="39"/>
      <c r="L1132" s="40"/>
      <c r="M1132" s="28"/>
      <c r="N1132" s="10"/>
      <c r="O1132" s="15"/>
      <c r="P1132" s="16"/>
      <c r="Q1132" s="15"/>
      <c r="R1132" s="17"/>
    </row>
    <row r="1133">
      <c r="A1133" s="38"/>
      <c r="B1133" s="8"/>
      <c r="C1133" s="9"/>
      <c r="D1133" s="8"/>
      <c r="E1133" s="8"/>
      <c r="F1133" s="8"/>
      <c r="G1133" s="9"/>
      <c r="H1133" s="8"/>
      <c r="I1133" s="8"/>
      <c r="J1133" s="11"/>
      <c r="K1133" s="39"/>
      <c r="L1133" s="40"/>
      <c r="M1133" s="28"/>
      <c r="N1133" s="10"/>
      <c r="O1133" s="15"/>
      <c r="P1133" s="16"/>
      <c r="Q1133" s="15"/>
      <c r="R1133" s="17"/>
    </row>
    <row r="1134">
      <c r="A1134" s="38"/>
      <c r="B1134" s="8"/>
      <c r="C1134" s="9"/>
      <c r="D1134" s="8"/>
      <c r="E1134" s="8"/>
      <c r="F1134" s="8"/>
      <c r="G1134" s="9"/>
      <c r="H1134" s="8"/>
      <c r="I1134" s="8"/>
      <c r="J1134" s="11"/>
      <c r="K1134" s="39"/>
      <c r="L1134" s="40"/>
      <c r="M1134" s="28"/>
      <c r="N1134" s="10"/>
      <c r="O1134" s="15"/>
      <c r="P1134" s="16"/>
      <c r="Q1134" s="15"/>
      <c r="R1134" s="17"/>
    </row>
    <row r="1135">
      <c r="A1135" s="38"/>
      <c r="B1135" s="8"/>
      <c r="C1135" s="9"/>
      <c r="D1135" s="8"/>
      <c r="E1135" s="8"/>
      <c r="F1135" s="8"/>
      <c r="G1135" s="9"/>
      <c r="H1135" s="8"/>
      <c r="I1135" s="8"/>
      <c r="J1135" s="11"/>
      <c r="K1135" s="39"/>
      <c r="L1135" s="40"/>
      <c r="M1135" s="28"/>
      <c r="N1135" s="10"/>
      <c r="O1135" s="15"/>
      <c r="P1135" s="16"/>
      <c r="Q1135" s="15"/>
      <c r="R1135" s="17"/>
    </row>
    <row r="1136">
      <c r="A1136" s="38"/>
      <c r="B1136" s="8"/>
      <c r="C1136" s="9"/>
      <c r="D1136" s="8"/>
      <c r="E1136" s="8"/>
      <c r="F1136" s="8"/>
      <c r="G1136" s="9"/>
      <c r="H1136" s="8"/>
      <c r="I1136" s="8"/>
      <c r="J1136" s="11"/>
      <c r="K1136" s="39"/>
      <c r="L1136" s="40"/>
      <c r="M1136" s="28"/>
      <c r="N1136" s="10"/>
      <c r="O1136" s="15"/>
      <c r="P1136" s="16"/>
      <c r="Q1136" s="15"/>
      <c r="R1136" s="17"/>
    </row>
    <row r="1137">
      <c r="A1137" s="38"/>
      <c r="B1137" s="8"/>
      <c r="C1137" s="9"/>
      <c r="D1137" s="8"/>
      <c r="E1137" s="8"/>
      <c r="F1137" s="8"/>
      <c r="G1137" s="9"/>
      <c r="H1137" s="8"/>
      <c r="I1137" s="8"/>
      <c r="J1137" s="11"/>
      <c r="K1137" s="39"/>
      <c r="L1137" s="40"/>
      <c r="M1137" s="28"/>
      <c r="N1137" s="10"/>
      <c r="O1137" s="15"/>
      <c r="P1137" s="16"/>
      <c r="Q1137" s="15"/>
      <c r="R1137" s="17"/>
    </row>
    <row r="1138">
      <c r="A1138" s="38"/>
      <c r="B1138" s="8"/>
      <c r="C1138" s="9"/>
      <c r="D1138" s="8"/>
      <c r="E1138" s="8"/>
      <c r="F1138" s="8"/>
      <c r="G1138" s="9"/>
      <c r="H1138" s="8"/>
      <c r="I1138" s="8"/>
      <c r="J1138" s="11"/>
      <c r="K1138" s="39"/>
      <c r="L1138" s="40"/>
      <c r="M1138" s="28"/>
      <c r="N1138" s="10"/>
      <c r="O1138" s="15"/>
      <c r="P1138" s="16"/>
      <c r="Q1138" s="15"/>
      <c r="R1138" s="17"/>
    </row>
    <row r="1139">
      <c r="A1139" s="38"/>
      <c r="B1139" s="8"/>
      <c r="C1139" s="9"/>
      <c r="D1139" s="8"/>
      <c r="E1139" s="8"/>
      <c r="F1139" s="8"/>
      <c r="G1139" s="9"/>
      <c r="H1139" s="8"/>
      <c r="I1139" s="8"/>
      <c r="J1139" s="11"/>
      <c r="K1139" s="39"/>
      <c r="L1139" s="40"/>
      <c r="M1139" s="28"/>
      <c r="N1139" s="10"/>
      <c r="O1139" s="15"/>
      <c r="P1139" s="16"/>
      <c r="Q1139" s="15"/>
      <c r="R1139" s="17"/>
    </row>
    <row r="1140">
      <c r="A1140" s="38"/>
      <c r="B1140" s="8"/>
      <c r="C1140" s="9"/>
      <c r="D1140" s="8"/>
      <c r="E1140" s="8"/>
      <c r="F1140" s="8"/>
      <c r="G1140" s="9"/>
      <c r="H1140" s="8"/>
      <c r="I1140" s="8"/>
      <c r="J1140" s="11"/>
      <c r="K1140" s="39"/>
      <c r="L1140" s="40"/>
      <c r="M1140" s="28"/>
      <c r="N1140" s="10"/>
      <c r="O1140" s="15"/>
      <c r="P1140" s="16"/>
      <c r="Q1140" s="15"/>
      <c r="R1140" s="17"/>
    </row>
    <row r="1141">
      <c r="A1141" s="38"/>
      <c r="B1141" s="8"/>
      <c r="C1141" s="9"/>
      <c r="D1141" s="8"/>
      <c r="E1141" s="8"/>
      <c r="F1141" s="8"/>
      <c r="G1141" s="9"/>
      <c r="H1141" s="8"/>
      <c r="I1141" s="8"/>
      <c r="J1141" s="11"/>
      <c r="K1141" s="39"/>
      <c r="L1141" s="40"/>
      <c r="M1141" s="28"/>
      <c r="N1141" s="10"/>
      <c r="O1141" s="15"/>
      <c r="P1141" s="16"/>
      <c r="Q1141" s="15"/>
      <c r="R1141" s="17"/>
    </row>
    <row r="1142">
      <c r="A1142" s="38"/>
      <c r="B1142" s="8"/>
      <c r="C1142" s="9"/>
      <c r="D1142" s="8"/>
      <c r="E1142" s="8"/>
      <c r="F1142" s="8"/>
      <c r="G1142" s="9"/>
      <c r="H1142" s="8"/>
      <c r="I1142" s="8"/>
      <c r="J1142" s="11"/>
      <c r="K1142" s="39"/>
      <c r="L1142" s="40"/>
      <c r="M1142" s="28"/>
      <c r="N1142" s="10"/>
      <c r="O1142" s="15"/>
      <c r="P1142" s="16"/>
      <c r="Q1142" s="15"/>
      <c r="R1142" s="17"/>
    </row>
    <row r="1143">
      <c r="A1143" s="38"/>
      <c r="B1143" s="8"/>
      <c r="C1143" s="9"/>
      <c r="D1143" s="8"/>
      <c r="E1143" s="8"/>
      <c r="F1143" s="8"/>
      <c r="G1143" s="9"/>
      <c r="H1143" s="8"/>
      <c r="I1143" s="8"/>
      <c r="J1143" s="11"/>
      <c r="K1143" s="39"/>
      <c r="L1143" s="40"/>
      <c r="M1143" s="28"/>
      <c r="N1143" s="10"/>
      <c r="O1143" s="15"/>
      <c r="P1143" s="16"/>
      <c r="Q1143" s="15"/>
      <c r="R1143" s="17"/>
    </row>
    <row r="1144">
      <c r="A1144" s="38"/>
      <c r="B1144" s="8"/>
      <c r="C1144" s="9"/>
      <c r="D1144" s="8"/>
      <c r="E1144" s="8"/>
      <c r="F1144" s="8"/>
      <c r="G1144" s="9"/>
      <c r="H1144" s="8"/>
      <c r="I1144" s="8"/>
      <c r="J1144" s="11"/>
      <c r="K1144" s="39"/>
      <c r="L1144" s="40"/>
      <c r="M1144" s="28"/>
      <c r="N1144" s="10"/>
      <c r="O1144" s="15"/>
      <c r="P1144" s="16"/>
      <c r="Q1144" s="15"/>
      <c r="R1144" s="17"/>
    </row>
    <row r="1145">
      <c r="A1145" s="38"/>
      <c r="B1145" s="8"/>
      <c r="C1145" s="9"/>
      <c r="D1145" s="8"/>
      <c r="E1145" s="8"/>
      <c r="F1145" s="8"/>
      <c r="G1145" s="9"/>
      <c r="H1145" s="8"/>
      <c r="I1145" s="8"/>
      <c r="J1145" s="11"/>
      <c r="K1145" s="39"/>
      <c r="L1145" s="40"/>
      <c r="M1145" s="28"/>
      <c r="N1145" s="10"/>
      <c r="O1145" s="15"/>
      <c r="P1145" s="16"/>
      <c r="Q1145" s="15"/>
      <c r="R1145" s="17"/>
    </row>
    <row r="1146">
      <c r="A1146" s="38"/>
      <c r="B1146" s="8"/>
      <c r="C1146" s="9"/>
      <c r="D1146" s="8"/>
      <c r="E1146" s="8"/>
      <c r="F1146" s="8"/>
      <c r="G1146" s="9"/>
      <c r="H1146" s="8"/>
      <c r="I1146" s="8"/>
      <c r="J1146" s="11"/>
      <c r="K1146" s="39"/>
      <c r="L1146" s="40"/>
      <c r="M1146" s="28"/>
      <c r="N1146" s="10"/>
      <c r="O1146" s="15"/>
      <c r="P1146" s="16"/>
      <c r="Q1146" s="15"/>
      <c r="R1146" s="17"/>
    </row>
    <row r="1147">
      <c r="A1147" s="38"/>
      <c r="B1147" s="8"/>
      <c r="C1147" s="9"/>
      <c r="D1147" s="8"/>
      <c r="E1147" s="8"/>
      <c r="F1147" s="8"/>
      <c r="G1147" s="9"/>
      <c r="H1147" s="8"/>
      <c r="I1147" s="8"/>
      <c r="J1147" s="11"/>
      <c r="K1147" s="39"/>
      <c r="L1147" s="40"/>
      <c r="M1147" s="28"/>
      <c r="N1147" s="10"/>
      <c r="O1147" s="15"/>
      <c r="P1147" s="16"/>
      <c r="Q1147" s="15"/>
      <c r="R1147" s="17"/>
    </row>
    <row r="1148">
      <c r="A1148" s="38"/>
      <c r="B1148" s="8"/>
      <c r="C1148" s="9"/>
      <c r="D1148" s="8"/>
      <c r="E1148" s="8"/>
      <c r="F1148" s="8"/>
      <c r="G1148" s="9"/>
      <c r="H1148" s="8"/>
      <c r="I1148" s="8"/>
      <c r="J1148" s="11"/>
      <c r="K1148" s="39"/>
      <c r="L1148" s="40"/>
      <c r="M1148" s="28"/>
      <c r="N1148" s="10"/>
      <c r="O1148" s="15"/>
      <c r="P1148" s="16"/>
      <c r="Q1148" s="15"/>
      <c r="R1148" s="17"/>
    </row>
    <row r="1149">
      <c r="A1149" s="38"/>
      <c r="B1149" s="8"/>
      <c r="C1149" s="9"/>
      <c r="D1149" s="8"/>
      <c r="E1149" s="8"/>
      <c r="F1149" s="8"/>
      <c r="G1149" s="9"/>
      <c r="H1149" s="8"/>
      <c r="I1149" s="8"/>
      <c r="J1149" s="11"/>
      <c r="K1149" s="39"/>
      <c r="L1149" s="40"/>
      <c r="M1149" s="28"/>
      <c r="N1149" s="10"/>
      <c r="O1149" s="15"/>
      <c r="P1149" s="16"/>
      <c r="Q1149" s="15"/>
      <c r="R1149" s="17"/>
    </row>
    <row r="1150">
      <c r="A1150" s="38"/>
      <c r="B1150" s="8"/>
      <c r="C1150" s="9"/>
      <c r="D1150" s="8"/>
      <c r="E1150" s="8"/>
      <c r="F1150" s="8"/>
      <c r="G1150" s="9"/>
      <c r="H1150" s="8"/>
      <c r="I1150" s="8"/>
      <c r="J1150" s="11"/>
      <c r="K1150" s="39"/>
      <c r="L1150" s="40"/>
      <c r="M1150" s="28"/>
      <c r="N1150" s="10"/>
      <c r="O1150" s="15"/>
      <c r="P1150" s="16"/>
      <c r="Q1150" s="15"/>
      <c r="R1150" s="17"/>
    </row>
    <row r="1151">
      <c r="A1151" s="38"/>
      <c r="B1151" s="8"/>
      <c r="C1151" s="9"/>
      <c r="D1151" s="8"/>
      <c r="E1151" s="8"/>
      <c r="F1151" s="8"/>
      <c r="G1151" s="9"/>
      <c r="H1151" s="8"/>
      <c r="I1151" s="8"/>
      <c r="J1151" s="11"/>
      <c r="K1151" s="39"/>
      <c r="L1151" s="40"/>
      <c r="M1151" s="28"/>
      <c r="N1151" s="10"/>
      <c r="O1151" s="15"/>
      <c r="P1151" s="16"/>
      <c r="Q1151" s="15"/>
      <c r="R1151" s="17"/>
    </row>
    <row r="1152">
      <c r="A1152" s="38"/>
      <c r="B1152" s="8"/>
      <c r="C1152" s="9"/>
      <c r="D1152" s="8"/>
      <c r="E1152" s="8"/>
      <c r="F1152" s="8"/>
      <c r="G1152" s="9"/>
      <c r="H1152" s="8"/>
      <c r="I1152" s="8"/>
      <c r="J1152" s="11"/>
      <c r="K1152" s="39"/>
      <c r="L1152" s="40"/>
      <c r="M1152" s="28"/>
      <c r="N1152" s="10"/>
      <c r="O1152" s="15"/>
      <c r="P1152" s="16"/>
      <c r="Q1152" s="15"/>
      <c r="R1152" s="17"/>
    </row>
    <row r="1153">
      <c r="A1153" s="38"/>
      <c r="B1153" s="8"/>
      <c r="C1153" s="9"/>
      <c r="D1153" s="8"/>
      <c r="E1153" s="8"/>
      <c r="F1153" s="8"/>
      <c r="G1153" s="9"/>
      <c r="H1153" s="8"/>
      <c r="I1153" s="8"/>
      <c r="J1153" s="11"/>
      <c r="K1153" s="39"/>
      <c r="L1153" s="40"/>
      <c r="M1153" s="28"/>
      <c r="N1153" s="10"/>
      <c r="O1153" s="15"/>
      <c r="P1153" s="16"/>
      <c r="Q1153" s="15"/>
      <c r="R1153" s="17"/>
    </row>
    <row r="1154">
      <c r="A1154" s="38"/>
      <c r="B1154" s="8"/>
      <c r="C1154" s="9"/>
      <c r="D1154" s="8"/>
      <c r="E1154" s="8"/>
      <c r="F1154" s="8"/>
      <c r="G1154" s="9"/>
      <c r="H1154" s="8"/>
      <c r="I1154" s="8"/>
      <c r="J1154" s="11"/>
      <c r="K1154" s="39"/>
      <c r="L1154" s="40"/>
      <c r="M1154" s="28"/>
      <c r="N1154" s="10"/>
      <c r="O1154" s="15"/>
      <c r="P1154" s="16"/>
      <c r="Q1154" s="15"/>
      <c r="R1154" s="17"/>
    </row>
    <row r="1155">
      <c r="A1155" s="38"/>
      <c r="B1155" s="8"/>
      <c r="C1155" s="9"/>
      <c r="D1155" s="8"/>
      <c r="E1155" s="8"/>
      <c r="F1155" s="8"/>
      <c r="G1155" s="9"/>
      <c r="H1155" s="8"/>
      <c r="I1155" s="8"/>
      <c r="J1155" s="11"/>
      <c r="K1155" s="39"/>
      <c r="L1155" s="40"/>
      <c r="M1155" s="28"/>
      <c r="N1155" s="10"/>
      <c r="O1155" s="15"/>
      <c r="P1155" s="16"/>
      <c r="Q1155" s="15"/>
      <c r="R1155" s="17"/>
    </row>
    <row r="1156">
      <c r="A1156" s="38"/>
      <c r="B1156" s="8"/>
      <c r="C1156" s="9"/>
      <c r="D1156" s="8"/>
      <c r="E1156" s="8"/>
      <c r="F1156" s="8"/>
      <c r="G1156" s="9"/>
      <c r="H1156" s="8"/>
      <c r="I1156" s="8"/>
      <c r="J1156" s="11"/>
      <c r="K1156" s="39"/>
      <c r="L1156" s="40"/>
      <c r="M1156" s="28"/>
      <c r="N1156" s="10"/>
      <c r="O1156" s="15"/>
      <c r="P1156" s="16"/>
      <c r="Q1156" s="15"/>
      <c r="R1156" s="17"/>
    </row>
    <row r="1157">
      <c r="A1157" s="38"/>
      <c r="B1157" s="8"/>
      <c r="C1157" s="9"/>
      <c r="D1157" s="8"/>
      <c r="E1157" s="8"/>
      <c r="F1157" s="8"/>
      <c r="G1157" s="9"/>
      <c r="H1157" s="8"/>
      <c r="I1157" s="8"/>
      <c r="J1157" s="11"/>
      <c r="K1157" s="39"/>
      <c r="L1157" s="40"/>
      <c r="M1157" s="28"/>
      <c r="N1157" s="10"/>
      <c r="O1157" s="15"/>
      <c r="P1157" s="16"/>
      <c r="Q1157" s="15"/>
      <c r="R1157" s="17"/>
    </row>
    <row r="1158">
      <c r="A1158" s="38"/>
      <c r="B1158" s="8"/>
      <c r="C1158" s="9"/>
      <c r="D1158" s="8"/>
      <c r="E1158" s="8"/>
      <c r="F1158" s="8"/>
      <c r="G1158" s="9"/>
      <c r="H1158" s="8"/>
      <c r="I1158" s="8"/>
      <c r="J1158" s="11"/>
      <c r="K1158" s="39"/>
      <c r="L1158" s="40"/>
      <c r="M1158" s="28"/>
      <c r="N1158" s="10"/>
      <c r="O1158" s="15"/>
      <c r="P1158" s="16"/>
      <c r="Q1158" s="15"/>
      <c r="R1158" s="17"/>
    </row>
    <row r="1159">
      <c r="A1159" s="38"/>
      <c r="B1159" s="8"/>
      <c r="C1159" s="9"/>
      <c r="D1159" s="8"/>
      <c r="E1159" s="8"/>
      <c r="F1159" s="8"/>
      <c r="G1159" s="9"/>
      <c r="H1159" s="8"/>
      <c r="I1159" s="8"/>
      <c r="J1159" s="11"/>
      <c r="K1159" s="39"/>
      <c r="L1159" s="40"/>
      <c r="M1159" s="28"/>
      <c r="N1159" s="10"/>
      <c r="O1159" s="15"/>
      <c r="P1159" s="16"/>
      <c r="Q1159" s="15"/>
      <c r="R1159" s="17"/>
    </row>
    <row r="1160">
      <c r="A1160" s="38"/>
      <c r="B1160" s="8"/>
      <c r="C1160" s="9"/>
      <c r="D1160" s="8"/>
      <c r="E1160" s="8"/>
      <c r="F1160" s="8"/>
      <c r="G1160" s="9"/>
      <c r="H1160" s="8"/>
      <c r="I1160" s="8"/>
      <c r="J1160" s="11"/>
      <c r="K1160" s="39"/>
      <c r="L1160" s="40"/>
      <c r="M1160" s="28"/>
      <c r="N1160" s="10"/>
      <c r="O1160" s="15"/>
      <c r="P1160" s="16"/>
      <c r="Q1160" s="15"/>
      <c r="R1160" s="17"/>
    </row>
    <row r="1161">
      <c r="A1161" s="38"/>
      <c r="B1161" s="8"/>
      <c r="C1161" s="9"/>
      <c r="D1161" s="8"/>
      <c r="E1161" s="8"/>
      <c r="F1161" s="8"/>
      <c r="G1161" s="9"/>
      <c r="H1161" s="8"/>
      <c r="I1161" s="8"/>
      <c r="J1161" s="11"/>
      <c r="K1161" s="39"/>
      <c r="L1161" s="40"/>
      <c r="M1161" s="28"/>
      <c r="N1161" s="10"/>
      <c r="O1161" s="15"/>
      <c r="P1161" s="16"/>
      <c r="Q1161" s="15"/>
      <c r="R1161" s="17"/>
    </row>
    <row r="1162">
      <c r="A1162" s="38"/>
      <c r="B1162" s="8"/>
      <c r="C1162" s="9"/>
      <c r="D1162" s="8"/>
      <c r="E1162" s="8"/>
      <c r="F1162" s="8"/>
      <c r="G1162" s="9"/>
      <c r="H1162" s="8"/>
      <c r="I1162" s="8"/>
      <c r="J1162" s="11"/>
      <c r="K1162" s="39"/>
      <c r="L1162" s="40"/>
      <c r="M1162" s="28"/>
      <c r="N1162" s="10"/>
      <c r="O1162" s="15"/>
      <c r="P1162" s="16"/>
      <c r="Q1162" s="15"/>
      <c r="R1162" s="17"/>
    </row>
    <row r="1163">
      <c r="A1163" s="38"/>
      <c r="B1163" s="8"/>
      <c r="C1163" s="9"/>
      <c r="D1163" s="8"/>
      <c r="E1163" s="8"/>
      <c r="F1163" s="8"/>
      <c r="G1163" s="9"/>
      <c r="H1163" s="8"/>
      <c r="I1163" s="8"/>
      <c r="J1163" s="11"/>
      <c r="K1163" s="39"/>
      <c r="L1163" s="40"/>
      <c r="M1163" s="28"/>
      <c r="N1163" s="10"/>
      <c r="O1163" s="15"/>
      <c r="P1163" s="16"/>
      <c r="Q1163" s="15"/>
      <c r="R1163" s="17"/>
    </row>
    <row r="1164">
      <c r="A1164" s="38"/>
      <c r="B1164" s="8"/>
      <c r="C1164" s="9"/>
      <c r="D1164" s="8"/>
      <c r="E1164" s="8"/>
      <c r="F1164" s="8"/>
      <c r="G1164" s="9"/>
      <c r="H1164" s="8"/>
      <c r="I1164" s="8"/>
      <c r="J1164" s="11"/>
      <c r="K1164" s="39"/>
      <c r="L1164" s="40"/>
      <c r="M1164" s="28"/>
      <c r="N1164" s="10"/>
      <c r="O1164" s="15"/>
      <c r="P1164" s="16"/>
      <c r="Q1164" s="15"/>
      <c r="R1164" s="17"/>
    </row>
    <row r="1165">
      <c r="A1165" s="38"/>
      <c r="B1165" s="8"/>
      <c r="C1165" s="9"/>
      <c r="D1165" s="8"/>
      <c r="E1165" s="8"/>
      <c r="F1165" s="8"/>
      <c r="G1165" s="9"/>
      <c r="H1165" s="8"/>
      <c r="I1165" s="8"/>
      <c r="J1165" s="11"/>
      <c r="K1165" s="39"/>
      <c r="L1165" s="40"/>
      <c r="M1165" s="28"/>
      <c r="N1165" s="10"/>
      <c r="O1165" s="15"/>
      <c r="P1165" s="16"/>
      <c r="Q1165" s="15"/>
      <c r="R1165" s="17"/>
    </row>
    <row r="1166">
      <c r="A1166" s="38"/>
      <c r="B1166" s="8"/>
      <c r="C1166" s="9"/>
      <c r="D1166" s="8"/>
      <c r="E1166" s="8"/>
      <c r="F1166" s="8"/>
      <c r="G1166" s="9"/>
      <c r="H1166" s="8"/>
      <c r="I1166" s="8"/>
      <c r="J1166" s="11"/>
      <c r="K1166" s="39"/>
      <c r="L1166" s="40"/>
      <c r="M1166" s="28"/>
      <c r="N1166" s="10"/>
      <c r="O1166" s="15"/>
      <c r="P1166" s="16"/>
      <c r="Q1166" s="15"/>
      <c r="R1166" s="17"/>
    </row>
    <row r="1167">
      <c r="A1167" s="38"/>
      <c r="B1167" s="8"/>
      <c r="C1167" s="9"/>
      <c r="D1167" s="8"/>
      <c r="E1167" s="8"/>
      <c r="F1167" s="8"/>
      <c r="G1167" s="9"/>
      <c r="H1167" s="8"/>
      <c r="I1167" s="8"/>
      <c r="J1167" s="11"/>
      <c r="K1167" s="39"/>
      <c r="L1167" s="40"/>
      <c r="M1167" s="28"/>
      <c r="N1167" s="10"/>
      <c r="O1167" s="15"/>
      <c r="P1167" s="16"/>
      <c r="Q1167" s="15"/>
      <c r="R1167" s="17"/>
    </row>
    <row r="1168">
      <c r="A1168" s="38"/>
      <c r="B1168" s="8"/>
      <c r="C1168" s="9"/>
      <c r="D1168" s="8"/>
      <c r="E1168" s="8"/>
      <c r="F1168" s="8"/>
      <c r="G1168" s="9"/>
      <c r="H1168" s="8"/>
      <c r="I1168" s="8"/>
      <c r="J1168" s="11"/>
      <c r="K1168" s="39"/>
      <c r="L1168" s="40"/>
      <c r="M1168" s="28"/>
      <c r="N1168" s="10"/>
      <c r="O1168" s="15"/>
      <c r="P1168" s="16"/>
      <c r="Q1168" s="15"/>
      <c r="R1168" s="17"/>
    </row>
    <row r="1169">
      <c r="A1169" s="38"/>
      <c r="B1169" s="8"/>
      <c r="C1169" s="9"/>
      <c r="D1169" s="8"/>
      <c r="E1169" s="8"/>
      <c r="F1169" s="8"/>
      <c r="G1169" s="9"/>
      <c r="H1169" s="8"/>
      <c r="I1169" s="8"/>
      <c r="J1169" s="11"/>
      <c r="K1169" s="39"/>
      <c r="L1169" s="40"/>
      <c r="M1169" s="28"/>
      <c r="N1169" s="10"/>
      <c r="O1169" s="15"/>
      <c r="P1169" s="16"/>
      <c r="Q1169" s="15"/>
      <c r="R1169" s="17"/>
    </row>
    <row r="1170">
      <c r="A1170" s="38"/>
      <c r="B1170" s="8"/>
      <c r="C1170" s="9"/>
      <c r="D1170" s="8"/>
      <c r="E1170" s="8"/>
      <c r="F1170" s="8"/>
      <c r="G1170" s="9"/>
      <c r="H1170" s="8"/>
      <c r="I1170" s="8"/>
      <c r="J1170" s="11"/>
      <c r="K1170" s="39"/>
      <c r="L1170" s="40"/>
      <c r="M1170" s="28"/>
      <c r="N1170" s="10"/>
      <c r="O1170" s="15"/>
      <c r="P1170" s="16"/>
      <c r="Q1170" s="15"/>
      <c r="R1170" s="17"/>
    </row>
    <row r="1171">
      <c r="A1171" s="38"/>
      <c r="B1171" s="8"/>
      <c r="C1171" s="9"/>
      <c r="D1171" s="8"/>
      <c r="E1171" s="8"/>
      <c r="F1171" s="8"/>
      <c r="G1171" s="9"/>
      <c r="H1171" s="8"/>
      <c r="I1171" s="8"/>
      <c r="J1171" s="11"/>
      <c r="K1171" s="39"/>
      <c r="L1171" s="40"/>
      <c r="M1171" s="28"/>
      <c r="N1171" s="10"/>
      <c r="O1171" s="15"/>
      <c r="P1171" s="16"/>
      <c r="Q1171" s="15"/>
      <c r="R1171" s="17"/>
    </row>
    <row r="1172">
      <c r="A1172" s="38"/>
      <c r="B1172" s="8"/>
      <c r="C1172" s="9"/>
      <c r="D1172" s="8"/>
      <c r="E1172" s="8"/>
      <c r="F1172" s="8"/>
      <c r="G1172" s="9"/>
      <c r="H1172" s="8"/>
      <c r="I1172" s="8"/>
      <c r="J1172" s="11"/>
      <c r="K1172" s="39"/>
      <c r="L1172" s="40"/>
      <c r="M1172" s="28"/>
      <c r="N1172" s="10"/>
      <c r="O1172" s="15"/>
      <c r="P1172" s="16"/>
      <c r="Q1172" s="15"/>
      <c r="R1172" s="17"/>
    </row>
    <row r="1173">
      <c r="A1173" s="38"/>
      <c r="B1173" s="8"/>
      <c r="C1173" s="9"/>
      <c r="D1173" s="8"/>
      <c r="E1173" s="8"/>
      <c r="F1173" s="8"/>
      <c r="G1173" s="9"/>
      <c r="H1173" s="8"/>
      <c r="I1173" s="8"/>
      <c r="J1173" s="11"/>
      <c r="K1173" s="39"/>
      <c r="L1173" s="40"/>
      <c r="M1173" s="28"/>
      <c r="N1173" s="10"/>
      <c r="O1173" s="15"/>
      <c r="P1173" s="16"/>
      <c r="Q1173" s="15"/>
      <c r="R1173" s="17"/>
    </row>
    <row r="1174">
      <c r="A1174" s="38"/>
      <c r="B1174" s="8"/>
      <c r="C1174" s="9"/>
      <c r="D1174" s="8"/>
      <c r="E1174" s="8"/>
      <c r="F1174" s="8"/>
      <c r="G1174" s="9"/>
      <c r="H1174" s="8"/>
      <c r="I1174" s="8"/>
      <c r="J1174" s="11"/>
      <c r="K1174" s="39"/>
      <c r="L1174" s="40"/>
      <c r="M1174" s="28"/>
      <c r="N1174" s="10"/>
      <c r="O1174" s="15"/>
      <c r="P1174" s="16"/>
      <c r="Q1174" s="15"/>
      <c r="R1174" s="17"/>
    </row>
    <row r="1175">
      <c r="A1175" s="38"/>
      <c r="B1175" s="8"/>
      <c r="C1175" s="9"/>
      <c r="D1175" s="8"/>
      <c r="E1175" s="8"/>
      <c r="F1175" s="8"/>
      <c r="G1175" s="9"/>
      <c r="H1175" s="8"/>
      <c r="I1175" s="8"/>
      <c r="J1175" s="11"/>
      <c r="K1175" s="39"/>
      <c r="L1175" s="40"/>
      <c r="M1175" s="28"/>
      <c r="N1175" s="10"/>
      <c r="O1175" s="15"/>
      <c r="P1175" s="16"/>
      <c r="Q1175" s="15"/>
      <c r="R1175" s="17"/>
    </row>
    <row r="1176">
      <c r="A1176" s="38"/>
      <c r="B1176" s="8"/>
      <c r="C1176" s="9"/>
      <c r="D1176" s="8"/>
      <c r="E1176" s="8"/>
      <c r="F1176" s="8"/>
      <c r="G1176" s="9"/>
      <c r="H1176" s="8"/>
      <c r="I1176" s="8"/>
      <c r="J1176" s="11"/>
      <c r="K1176" s="39"/>
      <c r="L1176" s="40"/>
      <c r="M1176" s="28"/>
      <c r="N1176" s="10"/>
      <c r="O1176" s="15"/>
      <c r="P1176" s="16"/>
      <c r="Q1176" s="15"/>
      <c r="R1176" s="17"/>
    </row>
    <row r="1177">
      <c r="A1177" s="38"/>
      <c r="B1177" s="8"/>
      <c r="C1177" s="9"/>
      <c r="D1177" s="8"/>
      <c r="E1177" s="8"/>
      <c r="F1177" s="8"/>
      <c r="G1177" s="9"/>
      <c r="H1177" s="8"/>
      <c r="I1177" s="8"/>
      <c r="J1177" s="11"/>
      <c r="K1177" s="39"/>
      <c r="L1177" s="40"/>
      <c r="M1177" s="28"/>
      <c r="N1177" s="10"/>
      <c r="O1177" s="15"/>
      <c r="P1177" s="16"/>
      <c r="Q1177" s="15"/>
      <c r="R1177" s="17"/>
    </row>
    <row r="1178">
      <c r="A1178" s="38"/>
      <c r="B1178" s="8"/>
      <c r="C1178" s="9"/>
      <c r="D1178" s="8"/>
      <c r="E1178" s="8"/>
      <c r="F1178" s="8"/>
      <c r="G1178" s="9"/>
      <c r="H1178" s="8"/>
      <c r="I1178" s="8"/>
      <c r="J1178" s="11"/>
      <c r="K1178" s="39"/>
      <c r="L1178" s="40"/>
      <c r="M1178" s="28"/>
      <c r="N1178" s="10"/>
      <c r="O1178" s="15"/>
      <c r="P1178" s="16"/>
      <c r="Q1178" s="15"/>
      <c r="R1178" s="17"/>
    </row>
    <row r="1179">
      <c r="A1179" s="38"/>
      <c r="B1179" s="8"/>
      <c r="C1179" s="9"/>
      <c r="D1179" s="8"/>
      <c r="E1179" s="8"/>
      <c r="F1179" s="8"/>
      <c r="G1179" s="9"/>
      <c r="H1179" s="8"/>
      <c r="I1179" s="8"/>
      <c r="J1179" s="11"/>
      <c r="K1179" s="39"/>
      <c r="L1179" s="40"/>
      <c r="M1179" s="28"/>
      <c r="N1179" s="10"/>
      <c r="O1179" s="15"/>
      <c r="P1179" s="16"/>
      <c r="Q1179" s="15"/>
      <c r="R1179" s="17"/>
    </row>
    <row r="1180">
      <c r="A1180" s="38"/>
      <c r="B1180" s="8"/>
      <c r="C1180" s="9"/>
      <c r="D1180" s="8"/>
      <c r="E1180" s="8"/>
      <c r="F1180" s="8"/>
      <c r="G1180" s="9"/>
      <c r="H1180" s="8"/>
      <c r="I1180" s="8"/>
      <c r="J1180" s="11"/>
      <c r="K1180" s="39"/>
      <c r="L1180" s="40"/>
      <c r="M1180" s="28"/>
      <c r="N1180" s="10"/>
      <c r="O1180" s="15"/>
      <c r="P1180" s="16"/>
      <c r="Q1180" s="15"/>
      <c r="R1180" s="17"/>
    </row>
    <row r="1181">
      <c r="A1181" s="38"/>
      <c r="B1181" s="8"/>
      <c r="C1181" s="9"/>
      <c r="D1181" s="8"/>
      <c r="E1181" s="8"/>
      <c r="F1181" s="8"/>
      <c r="G1181" s="9"/>
      <c r="H1181" s="8"/>
      <c r="I1181" s="8"/>
      <c r="J1181" s="11"/>
      <c r="K1181" s="39"/>
      <c r="L1181" s="40"/>
      <c r="M1181" s="28"/>
      <c r="N1181" s="10"/>
      <c r="O1181" s="15"/>
      <c r="P1181" s="16"/>
      <c r="Q1181" s="15"/>
      <c r="R1181" s="17"/>
    </row>
    <row r="1182">
      <c r="A1182" s="38"/>
      <c r="B1182" s="8"/>
      <c r="C1182" s="9"/>
      <c r="D1182" s="8"/>
      <c r="E1182" s="8"/>
      <c r="F1182" s="8"/>
      <c r="G1182" s="9"/>
      <c r="H1182" s="8"/>
      <c r="I1182" s="8"/>
      <c r="J1182" s="11"/>
      <c r="K1182" s="39"/>
      <c r="L1182" s="40"/>
      <c r="M1182" s="28"/>
      <c r="N1182" s="10"/>
      <c r="O1182" s="15"/>
      <c r="P1182" s="16"/>
      <c r="Q1182" s="15"/>
      <c r="R1182" s="17"/>
    </row>
    <row r="1183">
      <c r="A1183" s="38"/>
      <c r="B1183" s="8"/>
      <c r="C1183" s="9"/>
      <c r="D1183" s="8"/>
      <c r="E1183" s="8"/>
      <c r="F1183" s="8"/>
      <c r="G1183" s="9"/>
      <c r="H1183" s="8"/>
      <c r="I1183" s="8"/>
      <c r="J1183" s="11"/>
      <c r="K1183" s="39"/>
      <c r="L1183" s="40"/>
      <c r="M1183" s="28"/>
      <c r="N1183" s="10"/>
      <c r="O1183" s="15"/>
      <c r="P1183" s="16"/>
      <c r="Q1183" s="15"/>
      <c r="R1183" s="17"/>
    </row>
    <row r="1184">
      <c r="A1184" s="38"/>
      <c r="B1184" s="8"/>
      <c r="C1184" s="9"/>
      <c r="D1184" s="8"/>
      <c r="E1184" s="8"/>
      <c r="F1184" s="8"/>
      <c r="G1184" s="9"/>
      <c r="H1184" s="8"/>
      <c r="I1184" s="8"/>
      <c r="J1184" s="11"/>
      <c r="K1184" s="39"/>
      <c r="L1184" s="40"/>
      <c r="M1184" s="28"/>
      <c r="N1184" s="10"/>
      <c r="O1184" s="15"/>
      <c r="P1184" s="16"/>
      <c r="Q1184" s="15"/>
      <c r="R1184" s="17"/>
    </row>
    <row r="1185">
      <c r="A1185" s="38"/>
      <c r="B1185" s="8"/>
      <c r="C1185" s="9"/>
      <c r="D1185" s="8"/>
      <c r="E1185" s="8"/>
      <c r="F1185" s="8"/>
      <c r="G1185" s="9"/>
      <c r="H1185" s="8"/>
      <c r="I1185" s="8"/>
      <c r="J1185" s="11"/>
      <c r="K1185" s="39"/>
      <c r="L1185" s="40"/>
      <c r="M1185" s="28"/>
      <c r="N1185" s="10"/>
      <c r="O1185" s="15"/>
      <c r="P1185" s="16"/>
      <c r="Q1185" s="15"/>
      <c r="R1185" s="17"/>
    </row>
    <row r="1186">
      <c r="A1186" s="38"/>
      <c r="B1186" s="8"/>
      <c r="C1186" s="9"/>
      <c r="D1186" s="8"/>
      <c r="E1186" s="8"/>
      <c r="F1186" s="8"/>
      <c r="G1186" s="9"/>
      <c r="H1186" s="8"/>
      <c r="I1186" s="8"/>
      <c r="J1186" s="11"/>
      <c r="K1186" s="39"/>
      <c r="L1186" s="40"/>
      <c r="M1186" s="28"/>
      <c r="N1186" s="10"/>
      <c r="O1186" s="15"/>
      <c r="P1186" s="16"/>
      <c r="Q1186" s="15"/>
      <c r="R1186" s="17"/>
    </row>
    <row r="1187">
      <c r="A1187" s="38"/>
      <c r="B1187" s="8"/>
      <c r="C1187" s="9"/>
      <c r="D1187" s="8"/>
      <c r="E1187" s="8"/>
      <c r="F1187" s="8"/>
      <c r="G1187" s="9"/>
      <c r="H1187" s="8"/>
      <c r="I1187" s="8"/>
      <c r="J1187" s="11"/>
      <c r="K1187" s="39"/>
      <c r="L1187" s="40"/>
      <c r="M1187" s="28"/>
      <c r="N1187" s="10"/>
      <c r="O1187" s="15"/>
      <c r="P1187" s="16"/>
      <c r="Q1187" s="15"/>
      <c r="R1187" s="17"/>
    </row>
    <row r="1188">
      <c r="A1188" s="38"/>
      <c r="B1188" s="8"/>
      <c r="C1188" s="9"/>
      <c r="D1188" s="8"/>
      <c r="E1188" s="8"/>
      <c r="F1188" s="8"/>
      <c r="G1188" s="9"/>
      <c r="H1188" s="8"/>
      <c r="I1188" s="8"/>
      <c r="J1188" s="11"/>
      <c r="K1188" s="39"/>
      <c r="L1188" s="40"/>
      <c r="M1188" s="28"/>
      <c r="N1188" s="10"/>
      <c r="O1188" s="15"/>
      <c r="P1188" s="16"/>
      <c r="Q1188" s="15"/>
      <c r="R1188" s="17"/>
    </row>
    <row r="1189">
      <c r="A1189" s="38"/>
      <c r="B1189" s="8"/>
      <c r="C1189" s="9"/>
      <c r="D1189" s="8"/>
      <c r="E1189" s="8"/>
      <c r="F1189" s="8"/>
      <c r="G1189" s="9"/>
      <c r="H1189" s="8"/>
      <c r="I1189" s="8"/>
      <c r="J1189" s="11"/>
      <c r="K1189" s="39"/>
      <c r="L1189" s="40"/>
      <c r="M1189" s="28"/>
      <c r="N1189" s="10"/>
      <c r="O1189" s="15"/>
      <c r="P1189" s="16"/>
      <c r="Q1189" s="15"/>
      <c r="R1189" s="17"/>
    </row>
    <row r="1190">
      <c r="A1190" s="38"/>
      <c r="B1190" s="8"/>
      <c r="C1190" s="9"/>
      <c r="D1190" s="8"/>
      <c r="E1190" s="8"/>
      <c r="F1190" s="8"/>
      <c r="G1190" s="9"/>
      <c r="H1190" s="8"/>
      <c r="I1190" s="8"/>
      <c r="J1190" s="11"/>
      <c r="K1190" s="39"/>
      <c r="L1190" s="40"/>
      <c r="M1190" s="28"/>
      <c r="N1190" s="10"/>
      <c r="O1190" s="15"/>
      <c r="P1190" s="16"/>
      <c r="Q1190" s="15"/>
      <c r="R1190" s="17"/>
    </row>
    <row r="1191">
      <c r="A1191" s="38"/>
      <c r="B1191" s="8"/>
      <c r="C1191" s="9"/>
      <c r="D1191" s="8"/>
      <c r="E1191" s="8"/>
      <c r="F1191" s="8"/>
      <c r="G1191" s="9"/>
      <c r="H1191" s="8"/>
      <c r="I1191" s="8"/>
      <c r="J1191" s="11"/>
      <c r="K1191" s="39"/>
      <c r="L1191" s="40"/>
      <c r="M1191" s="28"/>
      <c r="N1191" s="10"/>
      <c r="O1191" s="15"/>
      <c r="P1191" s="16"/>
      <c r="Q1191" s="15"/>
      <c r="R1191" s="17"/>
    </row>
    <row r="1192">
      <c r="A1192" s="38"/>
      <c r="B1192" s="8"/>
      <c r="C1192" s="9"/>
      <c r="D1192" s="8"/>
      <c r="E1192" s="8"/>
      <c r="F1192" s="8"/>
      <c r="G1192" s="9"/>
      <c r="H1192" s="8"/>
      <c r="I1192" s="8"/>
      <c r="J1192" s="11"/>
      <c r="K1192" s="39"/>
      <c r="L1192" s="40"/>
      <c r="M1192" s="28"/>
      <c r="N1192" s="10"/>
      <c r="O1192" s="15"/>
      <c r="P1192" s="16"/>
      <c r="Q1192" s="15"/>
      <c r="R1192" s="17"/>
    </row>
    <row r="1193">
      <c r="A1193" s="38"/>
      <c r="B1193" s="8"/>
      <c r="C1193" s="9"/>
      <c r="D1193" s="8"/>
      <c r="E1193" s="8"/>
      <c r="F1193" s="8"/>
      <c r="G1193" s="9"/>
      <c r="H1193" s="8"/>
      <c r="I1193" s="8"/>
      <c r="J1193" s="11"/>
      <c r="K1193" s="39"/>
      <c r="L1193" s="40"/>
      <c r="M1193" s="28"/>
      <c r="N1193" s="10"/>
      <c r="O1193" s="15"/>
      <c r="P1193" s="16"/>
      <c r="Q1193" s="15"/>
      <c r="R1193" s="17"/>
    </row>
    <row r="1194">
      <c r="A1194" s="38"/>
      <c r="B1194" s="8"/>
      <c r="C1194" s="9"/>
      <c r="D1194" s="8"/>
      <c r="E1194" s="8"/>
      <c r="F1194" s="8"/>
      <c r="G1194" s="9"/>
      <c r="H1194" s="8"/>
      <c r="I1194" s="8"/>
      <c r="J1194" s="11"/>
      <c r="K1194" s="39"/>
      <c r="L1194" s="40"/>
      <c r="M1194" s="28"/>
      <c r="N1194" s="10"/>
      <c r="O1194" s="15"/>
      <c r="P1194" s="16"/>
      <c r="Q1194" s="15"/>
      <c r="R1194" s="17"/>
    </row>
    <row r="1195">
      <c r="A1195" s="38"/>
      <c r="B1195" s="8"/>
      <c r="C1195" s="9"/>
      <c r="D1195" s="8"/>
      <c r="E1195" s="8"/>
      <c r="F1195" s="8"/>
      <c r="G1195" s="9"/>
      <c r="H1195" s="8"/>
      <c r="I1195" s="8"/>
      <c r="J1195" s="11"/>
      <c r="K1195" s="39"/>
      <c r="L1195" s="40"/>
      <c r="M1195" s="28"/>
      <c r="N1195" s="10"/>
      <c r="O1195" s="15"/>
      <c r="P1195" s="16"/>
      <c r="Q1195" s="15"/>
      <c r="R1195" s="17"/>
    </row>
    <row r="1196">
      <c r="A1196" s="38"/>
      <c r="B1196" s="8"/>
      <c r="C1196" s="9"/>
      <c r="D1196" s="8"/>
      <c r="E1196" s="8"/>
      <c r="F1196" s="8"/>
      <c r="G1196" s="9"/>
      <c r="H1196" s="8"/>
      <c r="I1196" s="8"/>
      <c r="J1196" s="11"/>
      <c r="K1196" s="39"/>
      <c r="L1196" s="40"/>
      <c r="M1196" s="28"/>
      <c r="N1196" s="10"/>
      <c r="O1196" s="15"/>
      <c r="P1196" s="16"/>
      <c r="Q1196" s="15"/>
      <c r="R1196" s="17"/>
    </row>
    <row r="1197">
      <c r="A1197" s="38"/>
      <c r="B1197" s="8"/>
      <c r="C1197" s="9"/>
      <c r="D1197" s="8"/>
      <c r="E1197" s="8"/>
      <c r="F1197" s="8"/>
      <c r="G1197" s="9"/>
      <c r="H1197" s="8"/>
      <c r="I1197" s="8"/>
      <c r="J1197" s="11"/>
      <c r="K1197" s="39"/>
      <c r="L1197" s="40"/>
      <c r="M1197" s="28"/>
      <c r="N1197" s="10"/>
      <c r="O1197" s="15"/>
      <c r="P1197" s="16"/>
      <c r="Q1197" s="15"/>
      <c r="R1197" s="17"/>
    </row>
    <row r="1198">
      <c r="A1198" s="38"/>
      <c r="B1198" s="8"/>
      <c r="C1198" s="9"/>
      <c r="D1198" s="8"/>
      <c r="E1198" s="8"/>
      <c r="F1198" s="8"/>
      <c r="G1198" s="9"/>
      <c r="H1198" s="8"/>
      <c r="I1198" s="8"/>
      <c r="J1198" s="11"/>
      <c r="K1198" s="39"/>
      <c r="L1198" s="40"/>
      <c r="M1198" s="28"/>
      <c r="N1198" s="10"/>
      <c r="O1198" s="15"/>
      <c r="P1198" s="16"/>
      <c r="Q1198" s="15"/>
      <c r="R1198" s="17"/>
    </row>
    <row r="1199">
      <c r="A1199" s="38"/>
      <c r="B1199" s="8"/>
      <c r="C1199" s="9"/>
      <c r="D1199" s="8"/>
      <c r="E1199" s="8"/>
      <c r="F1199" s="8"/>
      <c r="G1199" s="9"/>
      <c r="H1199" s="8"/>
      <c r="I1199" s="8"/>
      <c r="J1199" s="11"/>
      <c r="K1199" s="39"/>
      <c r="L1199" s="40"/>
      <c r="M1199" s="28"/>
      <c r="N1199" s="10"/>
      <c r="O1199" s="15"/>
      <c r="P1199" s="16"/>
      <c r="Q1199" s="15"/>
      <c r="R1199" s="17"/>
    </row>
    <row r="1200">
      <c r="A1200" s="38"/>
      <c r="B1200" s="8"/>
      <c r="C1200" s="9"/>
      <c r="D1200" s="8"/>
      <c r="E1200" s="8"/>
      <c r="F1200" s="8"/>
      <c r="G1200" s="9"/>
      <c r="H1200" s="8"/>
      <c r="I1200" s="8"/>
      <c r="J1200" s="11"/>
      <c r="K1200" s="39"/>
      <c r="L1200" s="40"/>
      <c r="M1200" s="28"/>
      <c r="N1200" s="10"/>
      <c r="O1200" s="15"/>
      <c r="P1200" s="16"/>
      <c r="Q1200" s="15"/>
      <c r="R1200" s="17"/>
    </row>
    <row r="1201">
      <c r="A1201" s="38"/>
      <c r="B1201" s="8"/>
      <c r="C1201" s="9"/>
      <c r="D1201" s="8"/>
      <c r="E1201" s="8"/>
      <c r="F1201" s="8"/>
      <c r="G1201" s="9"/>
      <c r="H1201" s="8"/>
      <c r="I1201" s="8"/>
      <c r="J1201" s="11"/>
      <c r="K1201" s="39"/>
      <c r="L1201" s="40"/>
      <c r="M1201" s="28"/>
      <c r="N1201" s="10"/>
      <c r="O1201" s="15"/>
      <c r="P1201" s="16"/>
      <c r="Q1201" s="15"/>
      <c r="R1201" s="17"/>
    </row>
    <row r="1202">
      <c r="A1202" s="38"/>
      <c r="B1202" s="8"/>
      <c r="C1202" s="9"/>
      <c r="D1202" s="8"/>
      <c r="E1202" s="8"/>
      <c r="F1202" s="8"/>
      <c r="G1202" s="9"/>
      <c r="H1202" s="8"/>
      <c r="I1202" s="8"/>
      <c r="J1202" s="11"/>
      <c r="K1202" s="39"/>
      <c r="L1202" s="40"/>
      <c r="M1202" s="28"/>
      <c r="N1202" s="10"/>
      <c r="O1202" s="15"/>
      <c r="P1202" s="16"/>
      <c r="Q1202" s="15"/>
      <c r="R1202" s="17"/>
    </row>
    <row r="1203">
      <c r="A1203" s="38"/>
      <c r="B1203" s="8"/>
      <c r="C1203" s="9"/>
      <c r="D1203" s="8"/>
      <c r="E1203" s="8"/>
      <c r="F1203" s="8"/>
      <c r="G1203" s="9"/>
      <c r="H1203" s="8"/>
      <c r="I1203" s="8"/>
      <c r="J1203" s="11"/>
      <c r="K1203" s="39"/>
      <c r="L1203" s="40"/>
      <c r="M1203" s="28"/>
      <c r="N1203" s="10"/>
      <c r="O1203" s="15"/>
      <c r="P1203" s="16"/>
      <c r="Q1203" s="15"/>
      <c r="R1203" s="17"/>
    </row>
    <row r="1204">
      <c r="A1204" s="38"/>
      <c r="B1204" s="8"/>
      <c r="C1204" s="9"/>
      <c r="D1204" s="8"/>
      <c r="E1204" s="8"/>
      <c r="F1204" s="8"/>
      <c r="G1204" s="9"/>
      <c r="H1204" s="8"/>
      <c r="I1204" s="8"/>
      <c r="J1204" s="11"/>
      <c r="K1204" s="39"/>
      <c r="L1204" s="40"/>
      <c r="M1204" s="28"/>
      <c r="N1204" s="10"/>
      <c r="O1204" s="15"/>
      <c r="P1204" s="16"/>
      <c r="Q1204" s="15"/>
      <c r="R1204" s="17"/>
    </row>
    <row r="1205">
      <c r="A1205" s="38"/>
      <c r="B1205" s="8"/>
      <c r="C1205" s="9"/>
      <c r="D1205" s="8"/>
      <c r="E1205" s="8"/>
      <c r="F1205" s="8"/>
      <c r="G1205" s="9"/>
      <c r="H1205" s="8"/>
      <c r="I1205" s="8"/>
      <c r="J1205" s="11"/>
      <c r="K1205" s="39"/>
      <c r="L1205" s="40"/>
      <c r="M1205" s="28"/>
      <c r="N1205" s="10"/>
      <c r="O1205" s="15"/>
      <c r="P1205" s="16"/>
      <c r="Q1205" s="15"/>
      <c r="R1205" s="17"/>
    </row>
    <row r="1206">
      <c r="A1206" s="38"/>
      <c r="B1206" s="8"/>
      <c r="C1206" s="9"/>
      <c r="D1206" s="8"/>
      <c r="E1206" s="8"/>
      <c r="F1206" s="8"/>
      <c r="G1206" s="9"/>
      <c r="H1206" s="8"/>
      <c r="I1206" s="8"/>
      <c r="J1206" s="11"/>
      <c r="K1206" s="39"/>
      <c r="L1206" s="40"/>
      <c r="M1206" s="28"/>
      <c r="N1206" s="10"/>
      <c r="O1206" s="15"/>
      <c r="P1206" s="16"/>
      <c r="Q1206" s="15"/>
      <c r="R1206" s="17"/>
    </row>
    <row r="1207">
      <c r="A1207" s="38"/>
      <c r="B1207" s="8"/>
      <c r="C1207" s="9"/>
      <c r="D1207" s="8"/>
      <c r="E1207" s="8"/>
      <c r="F1207" s="8"/>
      <c r="G1207" s="9"/>
      <c r="H1207" s="8"/>
      <c r="I1207" s="8"/>
      <c r="J1207" s="11"/>
      <c r="K1207" s="39"/>
      <c r="L1207" s="40"/>
      <c r="M1207" s="28"/>
      <c r="N1207" s="10"/>
      <c r="O1207" s="15"/>
      <c r="P1207" s="16"/>
      <c r="Q1207" s="15"/>
      <c r="R1207" s="17"/>
    </row>
    <row r="1208">
      <c r="A1208" s="38"/>
      <c r="B1208" s="8"/>
      <c r="C1208" s="9"/>
      <c r="D1208" s="8"/>
      <c r="E1208" s="8"/>
      <c r="F1208" s="8"/>
      <c r="G1208" s="9"/>
      <c r="H1208" s="8"/>
      <c r="I1208" s="8"/>
      <c r="J1208" s="11"/>
      <c r="K1208" s="39"/>
      <c r="L1208" s="40"/>
      <c r="M1208" s="28"/>
      <c r="N1208" s="10"/>
      <c r="O1208" s="15"/>
      <c r="P1208" s="16"/>
      <c r="Q1208" s="15"/>
      <c r="R1208" s="17"/>
    </row>
    <row r="1209">
      <c r="A1209" s="38"/>
      <c r="B1209" s="8"/>
      <c r="C1209" s="9"/>
      <c r="D1209" s="8"/>
      <c r="E1209" s="8"/>
      <c r="F1209" s="8"/>
      <c r="G1209" s="9"/>
      <c r="H1209" s="8"/>
      <c r="I1209" s="8"/>
      <c r="J1209" s="11"/>
      <c r="K1209" s="39"/>
      <c r="L1209" s="40"/>
      <c r="M1209" s="28"/>
      <c r="N1209" s="10"/>
      <c r="O1209" s="15"/>
      <c r="P1209" s="16"/>
      <c r="Q1209" s="15"/>
      <c r="R1209" s="17"/>
    </row>
    <row r="1210">
      <c r="A1210" s="38"/>
      <c r="B1210" s="8"/>
      <c r="C1210" s="9"/>
      <c r="D1210" s="8"/>
      <c r="E1210" s="8"/>
      <c r="F1210" s="8"/>
      <c r="G1210" s="9"/>
      <c r="H1210" s="8"/>
      <c r="I1210" s="8"/>
      <c r="J1210" s="11"/>
      <c r="K1210" s="39"/>
      <c r="L1210" s="40"/>
      <c r="M1210" s="28"/>
      <c r="N1210" s="10"/>
      <c r="O1210" s="15"/>
      <c r="P1210" s="16"/>
      <c r="Q1210" s="15"/>
      <c r="R1210" s="17"/>
    </row>
    <row r="1211">
      <c r="A1211" s="38"/>
      <c r="B1211" s="8"/>
      <c r="C1211" s="9"/>
      <c r="D1211" s="8"/>
      <c r="E1211" s="8"/>
      <c r="F1211" s="8"/>
      <c r="G1211" s="9"/>
      <c r="H1211" s="8"/>
      <c r="I1211" s="8"/>
      <c r="J1211" s="11"/>
      <c r="K1211" s="39"/>
      <c r="L1211" s="40"/>
      <c r="M1211" s="28"/>
      <c r="N1211" s="10"/>
      <c r="O1211" s="15"/>
      <c r="P1211" s="16"/>
      <c r="Q1211" s="15"/>
      <c r="R1211" s="17"/>
    </row>
    <row r="1212">
      <c r="A1212" s="38"/>
      <c r="B1212" s="8"/>
      <c r="C1212" s="9"/>
      <c r="D1212" s="8"/>
      <c r="E1212" s="8"/>
      <c r="F1212" s="8"/>
      <c r="G1212" s="9"/>
      <c r="H1212" s="8"/>
      <c r="I1212" s="8"/>
      <c r="J1212" s="11"/>
      <c r="K1212" s="39"/>
      <c r="L1212" s="40"/>
      <c r="M1212" s="28"/>
      <c r="N1212" s="10"/>
      <c r="O1212" s="15"/>
      <c r="P1212" s="16"/>
      <c r="Q1212" s="15"/>
      <c r="R1212" s="17"/>
    </row>
    <row r="1213">
      <c r="A1213" s="38"/>
      <c r="B1213" s="8"/>
      <c r="C1213" s="9"/>
      <c r="D1213" s="8"/>
      <c r="E1213" s="8"/>
      <c r="F1213" s="8"/>
      <c r="G1213" s="9"/>
      <c r="H1213" s="8"/>
      <c r="I1213" s="8"/>
      <c r="J1213" s="11"/>
      <c r="K1213" s="39"/>
      <c r="L1213" s="40"/>
      <c r="M1213" s="28"/>
      <c r="N1213" s="10"/>
      <c r="O1213" s="15"/>
      <c r="P1213" s="16"/>
      <c r="Q1213" s="15"/>
      <c r="R1213" s="17"/>
    </row>
    <row r="1214">
      <c r="A1214" s="38"/>
      <c r="B1214" s="8"/>
      <c r="C1214" s="9"/>
      <c r="D1214" s="8"/>
      <c r="E1214" s="8"/>
      <c r="F1214" s="8"/>
      <c r="G1214" s="9"/>
      <c r="H1214" s="8"/>
      <c r="I1214" s="8"/>
      <c r="J1214" s="11"/>
      <c r="K1214" s="39"/>
      <c r="L1214" s="40"/>
      <c r="M1214" s="28"/>
      <c r="N1214" s="10"/>
      <c r="O1214" s="15"/>
      <c r="P1214" s="16"/>
      <c r="Q1214" s="15"/>
      <c r="R1214" s="17"/>
    </row>
    <row r="1215">
      <c r="A1215" s="38"/>
      <c r="B1215" s="8"/>
      <c r="C1215" s="9"/>
      <c r="D1215" s="8"/>
      <c r="E1215" s="8"/>
      <c r="F1215" s="8"/>
      <c r="G1215" s="9"/>
      <c r="H1215" s="8"/>
      <c r="I1215" s="8"/>
      <c r="J1215" s="11"/>
      <c r="K1215" s="39"/>
      <c r="L1215" s="40"/>
      <c r="M1215" s="28"/>
      <c r="N1215" s="10"/>
      <c r="O1215" s="15"/>
      <c r="P1215" s="16"/>
      <c r="Q1215" s="15"/>
      <c r="R1215" s="17"/>
    </row>
    <row r="1216">
      <c r="A1216" s="38"/>
      <c r="B1216" s="8"/>
      <c r="C1216" s="9"/>
      <c r="D1216" s="8"/>
      <c r="E1216" s="8"/>
      <c r="F1216" s="8"/>
      <c r="G1216" s="9"/>
      <c r="H1216" s="8"/>
      <c r="I1216" s="8"/>
      <c r="J1216" s="11"/>
      <c r="K1216" s="39"/>
      <c r="L1216" s="40"/>
      <c r="M1216" s="28"/>
      <c r="N1216" s="10"/>
      <c r="O1216" s="15"/>
      <c r="P1216" s="16"/>
      <c r="Q1216" s="15"/>
      <c r="R1216" s="17"/>
    </row>
    <row r="1217">
      <c r="A1217" s="38"/>
      <c r="B1217" s="8"/>
      <c r="C1217" s="9"/>
      <c r="D1217" s="8"/>
      <c r="E1217" s="8"/>
      <c r="F1217" s="8"/>
      <c r="G1217" s="9"/>
      <c r="H1217" s="8"/>
      <c r="I1217" s="8"/>
      <c r="J1217" s="11"/>
      <c r="K1217" s="39"/>
      <c r="L1217" s="40"/>
      <c r="M1217" s="28"/>
      <c r="N1217" s="10"/>
      <c r="O1217" s="15"/>
      <c r="P1217" s="16"/>
      <c r="Q1217" s="15"/>
      <c r="R1217" s="17"/>
    </row>
    <row r="1218">
      <c r="A1218" s="38"/>
      <c r="B1218" s="8"/>
      <c r="C1218" s="9"/>
      <c r="D1218" s="8"/>
      <c r="E1218" s="8"/>
      <c r="F1218" s="8"/>
      <c r="G1218" s="9"/>
      <c r="H1218" s="8"/>
      <c r="I1218" s="8"/>
      <c r="J1218" s="11"/>
      <c r="K1218" s="39"/>
      <c r="L1218" s="40"/>
      <c r="M1218" s="28"/>
      <c r="N1218" s="10"/>
      <c r="O1218" s="15"/>
      <c r="P1218" s="16"/>
      <c r="Q1218" s="15"/>
      <c r="R1218" s="17"/>
    </row>
    <row r="1219">
      <c r="A1219" s="38"/>
      <c r="B1219" s="8"/>
      <c r="C1219" s="9"/>
      <c r="D1219" s="8"/>
      <c r="E1219" s="8"/>
      <c r="F1219" s="8"/>
      <c r="G1219" s="9"/>
      <c r="H1219" s="8"/>
      <c r="I1219" s="8"/>
      <c r="J1219" s="11"/>
      <c r="K1219" s="39"/>
      <c r="L1219" s="40"/>
      <c r="M1219" s="28"/>
      <c r="N1219" s="10"/>
      <c r="O1219" s="15"/>
      <c r="P1219" s="16"/>
      <c r="Q1219" s="15"/>
      <c r="R1219" s="17"/>
    </row>
    <row r="1220">
      <c r="A1220" s="38"/>
      <c r="B1220" s="8"/>
      <c r="C1220" s="9"/>
      <c r="D1220" s="8"/>
      <c r="E1220" s="8"/>
      <c r="F1220" s="8"/>
      <c r="G1220" s="9"/>
      <c r="H1220" s="8"/>
      <c r="I1220" s="8"/>
      <c r="J1220" s="11"/>
      <c r="K1220" s="39"/>
      <c r="L1220" s="40"/>
      <c r="M1220" s="28"/>
      <c r="N1220" s="10"/>
      <c r="O1220" s="15"/>
      <c r="P1220" s="16"/>
      <c r="Q1220" s="15"/>
      <c r="R1220" s="17"/>
    </row>
    <row r="1221">
      <c r="A1221" s="38"/>
      <c r="B1221" s="8"/>
      <c r="C1221" s="9"/>
      <c r="D1221" s="8"/>
      <c r="E1221" s="8"/>
      <c r="F1221" s="8"/>
      <c r="G1221" s="9"/>
      <c r="H1221" s="8"/>
      <c r="I1221" s="8"/>
      <c r="J1221" s="11"/>
      <c r="K1221" s="39"/>
      <c r="L1221" s="40"/>
      <c r="M1221" s="28"/>
      <c r="N1221" s="10"/>
      <c r="O1221" s="15"/>
      <c r="P1221" s="16"/>
      <c r="Q1221" s="15"/>
      <c r="R1221" s="17"/>
    </row>
    <row r="1222">
      <c r="A1222" s="38"/>
      <c r="B1222" s="8"/>
      <c r="C1222" s="9"/>
      <c r="D1222" s="8"/>
      <c r="E1222" s="8"/>
      <c r="F1222" s="8"/>
      <c r="G1222" s="9"/>
      <c r="H1222" s="8"/>
      <c r="I1222" s="8"/>
      <c r="J1222" s="11"/>
      <c r="K1222" s="39"/>
      <c r="L1222" s="40"/>
      <c r="M1222" s="28"/>
      <c r="N1222" s="10"/>
      <c r="O1222" s="15"/>
      <c r="P1222" s="16"/>
      <c r="Q1222" s="15"/>
      <c r="R1222" s="17"/>
    </row>
    <row r="1223">
      <c r="A1223" s="38"/>
      <c r="B1223" s="8"/>
      <c r="C1223" s="9"/>
      <c r="D1223" s="8"/>
      <c r="E1223" s="8"/>
      <c r="F1223" s="8"/>
      <c r="G1223" s="9"/>
      <c r="H1223" s="8"/>
      <c r="I1223" s="8"/>
      <c r="J1223" s="11"/>
      <c r="K1223" s="39"/>
      <c r="L1223" s="40"/>
      <c r="M1223" s="28"/>
      <c r="N1223" s="10"/>
      <c r="O1223" s="15"/>
      <c r="P1223" s="16"/>
      <c r="Q1223" s="15"/>
      <c r="R1223" s="17"/>
    </row>
    <row r="1224">
      <c r="A1224" s="38"/>
      <c r="B1224" s="8"/>
      <c r="C1224" s="9"/>
      <c r="D1224" s="8"/>
      <c r="E1224" s="8"/>
      <c r="F1224" s="8"/>
      <c r="G1224" s="9"/>
      <c r="H1224" s="8"/>
      <c r="I1224" s="8"/>
      <c r="J1224" s="11"/>
      <c r="K1224" s="39"/>
      <c r="L1224" s="40"/>
      <c r="M1224" s="28"/>
      <c r="N1224" s="10"/>
      <c r="O1224" s="15"/>
      <c r="P1224" s="16"/>
      <c r="Q1224" s="15"/>
      <c r="R1224" s="17"/>
    </row>
    <row r="1225">
      <c r="A1225" s="38"/>
      <c r="B1225" s="8"/>
      <c r="C1225" s="9"/>
      <c r="D1225" s="8"/>
      <c r="E1225" s="8"/>
      <c r="F1225" s="8"/>
      <c r="G1225" s="9"/>
      <c r="H1225" s="8"/>
      <c r="I1225" s="8"/>
      <c r="J1225" s="11"/>
      <c r="K1225" s="39"/>
      <c r="L1225" s="40"/>
      <c r="M1225" s="28"/>
      <c r="N1225" s="10"/>
      <c r="O1225" s="15"/>
      <c r="P1225" s="16"/>
      <c r="Q1225" s="15"/>
      <c r="R1225" s="17"/>
    </row>
    <row r="1226">
      <c r="A1226" s="38"/>
      <c r="B1226" s="8"/>
      <c r="C1226" s="9"/>
      <c r="D1226" s="8"/>
      <c r="E1226" s="8"/>
      <c r="F1226" s="8"/>
      <c r="G1226" s="9"/>
      <c r="H1226" s="8"/>
      <c r="I1226" s="8"/>
      <c r="J1226" s="11"/>
      <c r="K1226" s="39"/>
      <c r="L1226" s="40"/>
      <c r="M1226" s="28"/>
      <c r="N1226" s="10"/>
      <c r="O1226" s="15"/>
      <c r="P1226" s="16"/>
      <c r="Q1226" s="15"/>
      <c r="R1226" s="17"/>
    </row>
    <row r="1227">
      <c r="A1227" s="38"/>
      <c r="B1227" s="8"/>
      <c r="C1227" s="9"/>
      <c r="D1227" s="8"/>
      <c r="E1227" s="8"/>
      <c r="F1227" s="8"/>
      <c r="G1227" s="9"/>
      <c r="H1227" s="8"/>
      <c r="I1227" s="8"/>
      <c r="J1227" s="11"/>
      <c r="K1227" s="39"/>
      <c r="L1227" s="40"/>
      <c r="M1227" s="28"/>
      <c r="N1227" s="10"/>
      <c r="O1227" s="15"/>
      <c r="P1227" s="16"/>
      <c r="Q1227" s="15"/>
      <c r="R1227" s="17"/>
    </row>
    <row r="1228">
      <c r="A1228" s="38"/>
      <c r="B1228" s="8"/>
      <c r="C1228" s="9"/>
      <c r="D1228" s="8"/>
      <c r="E1228" s="8"/>
      <c r="F1228" s="8"/>
      <c r="G1228" s="9"/>
      <c r="H1228" s="8"/>
      <c r="I1228" s="8"/>
      <c r="J1228" s="11"/>
      <c r="K1228" s="39"/>
      <c r="L1228" s="40"/>
      <c r="M1228" s="28"/>
      <c r="N1228" s="10"/>
      <c r="O1228" s="15"/>
      <c r="P1228" s="16"/>
      <c r="Q1228" s="15"/>
      <c r="R1228" s="17"/>
    </row>
    <row r="1229">
      <c r="A1229" s="38"/>
      <c r="B1229" s="8"/>
      <c r="C1229" s="9"/>
      <c r="D1229" s="8"/>
      <c r="E1229" s="8"/>
      <c r="F1229" s="8"/>
      <c r="G1229" s="9"/>
      <c r="H1229" s="8"/>
      <c r="I1229" s="8"/>
      <c r="J1229" s="11"/>
      <c r="K1229" s="39"/>
      <c r="L1229" s="40"/>
      <c r="M1229" s="28"/>
      <c r="N1229" s="10"/>
      <c r="O1229" s="15"/>
      <c r="P1229" s="16"/>
      <c r="Q1229" s="15"/>
      <c r="R1229" s="17"/>
    </row>
    <row r="1230">
      <c r="A1230" s="38"/>
      <c r="B1230" s="8"/>
      <c r="C1230" s="9"/>
      <c r="D1230" s="8"/>
      <c r="E1230" s="8"/>
      <c r="F1230" s="8"/>
      <c r="G1230" s="9"/>
      <c r="H1230" s="8"/>
      <c r="I1230" s="8"/>
      <c r="J1230" s="11"/>
      <c r="K1230" s="39"/>
      <c r="L1230" s="40"/>
      <c r="M1230" s="28"/>
      <c r="N1230" s="10"/>
      <c r="O1230" s="15"/>
      <c r="P1230" s="16"/>
      <c r="Q1230" s="15"/>
      <c r="R1230" s="17"/>
    </row>
    <row r="1231">
      <c r="A1231" s="38"/>
      <c r="B1231" s="8"/>
      <c r="C1231" s="9"/>
      <c r="D1231" s="8"/>
      <c r="E1231" s="8"/>
      <c r="F1231" s="8"/>
      <c r="G1231" s="9"/>
      <c r="H1231" s="8"/>
      <c r="I1231" s="8"/>
      <c r="J1231" s="11"/>
      <c r="K1231" s="39"/>
      <c r="L1231" s="40"/>
      <c r="M1231" s="28"/>
      <c r="N1231" s="10"/>
      <c r="O1231" s="15"/>
      <c r="P1231" s="16"/>
      <c r="Q1231" s="15"/>
      <c r="R1231" s="17"/>
    </row>
    <row r="1232">
      <c r="A1232" s="38"/>
      <c r="B1232" s="8"/>
      <c r="C1232" s="9"/>
      <c r="D1232" s="8"/>
      <c r="E1232" s="8"/>
      <c r="F1232" s="8"/>
      <c r="G1232" s="9"/>
      <c r="H1232" s="8"/>
      <c r="I1232" s="8"/>
      <c r="J1232" s="11"/>
      <c r="K1232" s="39"/>
      <c r="L1232" s="40"/>
      <c r="M1232" s="28"/>
      <c r="N1232" s="10"/>
      <c r="O1232" s="15"/>
      <c r="P1232" s="16"/>
      <c r="Q1232" s="15"/>
      <c r="R1232" s="17"/>
    </row>
    <row r="1233">
      <c r="A1233" s="38"/>
      <c r="B1233" s="8"/>
      <c r="C1233" s="9"/>
      <c r="D1233" s="8"/>
      <c r="E1233" s="8"/>
      <c r="F1233" s="8"/>
      <c r="G1233" s="9"/>
      <c r="H1233" s="8"/>
      <c r="I1233" s="8"/>
      <c r="J1233" s="11"/>
      <c r="K1233" s="39"/>
      <c r="L1233" s="40"/>
      <c r="M1233" s="28"/>
      <c r="N1233" s="10"/>
      <c r="O1233" s="15"/>
      <c r="P1233" s="16"/>
      <c r="Q1233" s="15"/>
      <c r="R1233" s="17"/>
    </row>
    <row r="1234">
      <c r="A1234" s="38"/>
      <c r="B1234" s="8"/>
      <c r="C1234" s="9"/>
      <c r="D1234" s="8"/>
      <c r="E1234" s="8"/>
      <c r="F1234" s="8"/>
      <c r="G1234" s="9"/>
      <c r="H1234" s="8"/>
      <c r="I1234" s="8"/>
      <c r="J1234" s="11"/>
      <c r="K1234" s="39"/>
      <c r="L1234" s="40"/>
      <c r="M1234" s="28"/>
      <c r="N1234" s="10"/>
      <c r="O1234" s="15"/>
      <c r="P1234" s="16"/>
      <c r="Q1234" s="15"/>
      <c r="R1234" s="17"/>
    </row>
    <row r="1235">
      <c r="A1235" s="38"/>
      <c r="B1235" s="8"/>
      <c r="C1235" s="9"/>
      <c r="D1235" s="8"/>
      <c r="E1235" s="8"/>
      <c r="F1235" s="8"/>
      <c r="G1235" s="9"/>
      <c r="H1235" s="8"/>
      <c r="I1235" s="8"/>
      <c r="J1235" s="11"/>
      <c r="K1235" s="39"/>
      <c r="L1235" s="40"/>
      <c r="M1235" s="28"/>
      <c r="N1235" s="10"/>
      <c r="O1235" s="15"/>
      <c r="P1235" s="16"/>
      <c r="Q1235" s="15"/>
      <c r="R1235" s="17"/>
    </row>
    <row r="1236">
      <c r="A1236" s="38"/>
      <c r="B1236" s="8"/>
      <c r="C1236" s="9"/>
      <c r="D1236" s="8"/>
      <c r="E1236" s="8"/>
      <c r="F1236" s="8"/>
      <c r="G1236" s="9"/>
      <c r="H1236" s="8"/>
      <c r="I1236" s="8"/>
      <c r="J1236" s="11"/>
      <c r="K1236" s="39"/>
      <c r="L1236" s="40"/>
      <c r="M1236" s="28"/>
      <c r="N1236" s="10"/>
      <c r="O1236" s="15"/>
      <c r="P1236" s="16"/>
      <c r="Q1236" s="15"/>
      <c r="R1236" s="17"/>
    </row>
    <row r="1237">
      <c r="A1237" s="38"/>
      <c r="B1237" s="8"/>
      <c r="C1237" s="9"/>
      <c r="D1237" s="8"/>
      <c r="E1237" s="8"/>
      <c r="F1237" s="8"/>
      <c r="G1237" s="9"/>
      <c r="H1237" s="8"/>
      <c r="I1237" s="8"/>
      <c r="J1237" s="11"/>
      <c r="K1237" s="39"/>
      <c r="L1237" s="40"/>
      <c r="M1237" s="28"/>
      <c r="N1237" s="10"/>
      <c r="O1237" s="15"/>
      <c r="P1237" s="16"/>
      <c r="Q1237" s="15"/>
      <c r="R1237" s="17"/>
    </row>
    <row r="1238">
      <c r="A1238" s="38"/>
      <c r="B1238" s="8"/>
      <c r="C1238" s="9"/>
      <c r="D1238" s="8"/>
      <c r="E1238" s="8"/>
      <c r="F1238" s="8"/>
      <c r="G1238" s="9"/>
      <c r="H1238" s="8"/>
      <c r="I1238" s="8"/>
      <c r="J1238" s="11"/>
      <c r="K1238" s="39"/>
      <c r="L1238" s="40"/>
      <c r="M1238" s="28"/>
      <c r="N1238" s="10"/>
      <c r="O1238" s="15"/>
      <c r="P1238" s="16"/>
      <c r="Q1238" s="15"/>
      <c r="R1238" s="17"/>
    </row>
    <row r="1239">
      <c r="A1239" s="38"/>
      <c r="B1239" s="8"/>
      <c r="C1239" s="9"/>
      <c r="D1239" s="8"/>
      <c r="E1239" s="8"/>
      <c r="F1239" s="8"/>
      <c r="G1239" s="9"/>
      <c r="H1239" s="8"/>
      <c r="I1239" s="8"/>
      <c r="J1239" s="11"/>
      <c r="K1239" s="39"/>
      <c r="L1239" s="40"/>
      <c r="M1239" s="28"/>
      <c r="N1239" s="10"/>
      <c r="O1239" s="15"/>
      <c r="P1239" s="16"/>
      <c r="Q1239" s="15"/>
      <c r="R1239" s="17"/>
    </row>
    <row r="1240">
      <c r="A1240" s="38"/>
      <c r="B1240" s="8"/>
      <c r="C1240" s="9"/>
      <c r="D1240" s="8"/>
      <c r="E1240" s="8"/>
      <c r="F1240" s="8"/>
      <c r="G1240" s="9"/>
      <c r="H1240" s="8"/>
      <c r="I1240" s="8"/>
      <c r="J1240" s="11"/>
      <c r="K1240" s="39"/>
      <c r="L1240" s="40"/>
      <c r="M1240" s="28"/>
      <c r="N1240" s="10"/>
      <c r="O1240" s="15"/>
      <c r="P1240" s="16"/>
      <c r="Q1240" s="15"/>
      <c r="R1240" s="17"/>
    </row>
    <row r="1241">
      <c r="A1241" s="38"/>
      <c r="B1241" s="8"/>
      <c r="C1241" s="9"/>
      <c r="D1241" s="8"/>
      <c r="E1241" s="8"/>
      <c r="F1241" s="8"/>
      <c r="G1241" s="9"/>
      <c r="H1241" s="8"/>
      <c r="I1241" s="8"/>
      <c r="J1241" s="11"/>
      <c r="K1241" s="39"/>
      <c r="L1241" s="40"/>
      <c r="M1241" s="28"/>
      <c r="N1241" s="10"/>
      <c r="O1241" s="15"/>
      <c r="P1241" s="16"/>
      <c r="Q1241" s="15"/>
      <c r="R1241" s="17"/>
    </row>
    <row r="1242">
      <c r="A1242" s="38"/>
      <c r="B1242" s="8"/>
      <c r="C1242" s="9"/>
      <c r="D1242" s="8"/>
      <c r="E1242" s="8"/>
      <c r="F1242" s="8"/>
      <c r="G1242" s="9"/>
      <c r="H1242" s="8"/>
      <c r="I1242" s="8"/>
      <c r="J1242" s="11"/>
      <c r="K1242" s="39"/>
      <c r="L1242" s="40"/>
      <c r="M1242" s="28"/>
      <c r="N1242" s="10"/>
      <c r="O1242" s="15"/>
      <c r="P1242" s="16"/>
      <c r="Q1242" s="15"/>
      <c r="R1242" s="17"/>
    </row>
    <row r="1243">
      <c r="A1243" s="38"/>
      <c r="B1243" s="8"/>
      <c r="C1243" s="9"/>
      <c r="D1243" s="8"/>
      <c r="E1243" s="8"/>
      <c r="F1243" s="8"/>
      <c r="G1243" s="9"/>
      <c r="H1243" s="8"/>
      <c r="I1243" s="8"/>
      <c r="J1243" s="11"/>
      <c r="K1243" s="39"/>
      <c r="L1243" s="40"/>
      <c r="M1243" s="28"/>
      <c r="N1243" s="10"/>
      <c r="O1243" s="15"/>
      <c r="P1243" s="16"/>
      <c r="Q1243" s="15"/>
      <c r="R1243" s="17"/>
    </row>
    <row r="1244">
      <c r="A1244" s="38"/>
      <c r="B1244" s="8"/>
      <c r="C1244" s="9"/>
      <c r="D1244" s="8"/>
      <c r="E1244" s="8"/>
      <c r="F1244" s="8"/>
      <c r="G1244" s="9"/>
      <c r="H1244" s="8"/>
      <c r="I1244" s="8"/>
      <c r="J1244" s="11"/>
      <c r="K1244" s="39"/>
      <c r="L1244" s="40"/>
      <c r="M1244" s="28"/>
      <c r="N1244" s="10"/>
      <c r="O1244" s="15"/>
      <c r="P1244" s="16"/>
      <c r="Q1244" s="15"/>
      <c r="R1244" s="17"/>
    </row>
    <row r="1245">
      <c r="A1245" s="38"/>
      <c r="B1245" s="8"/>
      <c r="C1245" s="9"/>
      <c r="D1245" s="8"/>
      <c r="E1245" s="8"/>
      <c r="F1245" s="8"/>
      <c r="G1245" s="9"/>
      <c r="H1245" s="8"/>
      <c r="I1245" s="8"/>
      <c r="J1245" s="11"/>
      <c r="K1245" s="39"/>
      <c r="L1245" s="40"/>
      <c r="M1245" s="28"/>
      <c r="N1245" s="10"/>
      <c r="O1245" s="15"/>
      <c r="P1245" s="16"/>
      <c r="Q1245" s="15"/>
      <c r="R1245" s="17"/>
    </row>
    <row r="1246">
      <c r="A1246" s="38"/>
      <c r="B1246" s="8"/>
      <c r="C1246" s="9"/>
      <c r="D1246" s="8"/>
      <c r="E1246" s="8"/>
      <c r="F1246" s="8"/>
      <c r="G1246" s="9"/>
      <c r="H1246" s="8"/>
      <c r="I1246" s="8"/>
      <c r="J1246" s="11"/>
      <c r="K1246" s="39"/>
      <c r="L1246" s="40"/>
      <c r="M1246" s="28"/>
      <c r="N1246" s="10"/>
      <c r="O1246" s="15"/>
      <c r="P1246" s="16"/>
      <c r="Q1246" s="15"/>
      <c r="R1246" s="17"/>
    </row>
    <row r="1247">
      <c r="A1247" s="38"/>
      <c r="B1247" s="8"/>
      <c r="C1247" s="9"/>
      <c r="D1247" s="8"/>
      <c r="E1247" s="8"/>
      <c r="F1247" s="8"/>
      <c r="G1247" s="9"/>
      <c r="H1247" s="8"/>
      <c r="I1247" s="8"/>
      <c r="J1247" s="11"/>
      <c r="K1247" s="39"/>
      <c r="L1247" s="40"/>
      <c r="M1247" s="28"/>
      <c r="N1247" s="10"/>
      <c r="O1247" s="15"/>
      <c r="P1247" s="16"/>
      <c r="Q1247" s="15"/>
      <c r="R1247" s="17"/>
    </row>
    <row r="1248">
      <c r="A1248" s="38"/>
      <c r="B1248" s="8"/>
      <c r="C1248" s="9"/>
      <c r="D1248" s="8"/>
      <c r="E1248" s="8"/>
      <c r="F1248" s="8"/>
      <c r="G1248" s="9"/>
      <c r="H1248" s="8"/>
      <c r="I1248" s="8"/>
      <c r="J1248" s="11"/>
      <c r="K1248" s="39"/>
      <c r="L1248" s="40"/>
      <c r="M1248" s="28"/>
      <c r="N1248" s="10"/>
      <c r="O1248" s="15"/>
      <c r="P1248" s="16"/>
      <c r="Q1248" s="15"/>
      <c r="R1248" s="17"/>
    </row>
    <row r="1249">
      <c r="A1249" s="38"/>
      <c r="B1249" s="8"/>
      <c r="C1249" s="9"/>
      <c r="D1249" s="8"/>
      <c r="E1249" s="8"/>
      <c r="F1249" s="8"/>
      <c r="G1249" s="9"/>
      <c r="H1249" s="8"/>
      <c r="I1249" s="8"/>
      <c r="J1249" s="11"/>
      <c r="K1249" s="39"/>
      <c r="L1249" s="40"/>
      <c r="M1249" s="28"/>
      <c r="N1249" s="10"/>
      <c r="O1249" s="15"/>
      <c r="P1249" s="16"/>
      <c r="Q1249" s="15"/>
      <c r="R1249" s="17"/>
    </row>
    <row r="1250">
      <c r="A1250" s="38"/>
      <c r="B1250" s="8"/>
      <c r="C1250" s="9"/>
      <c r="D1250" s="8"/>
      <c r="E1250" s="8"/>
      <c r="F1250" s="8"/>
      <c r="G1250" s="9"/>
      <c r="H1250" s="8"/>
      <c r="I1250" s="8"/>
      <c r="J1250" s="11"/>
      <c r="K1250" s="39"/>
      <c r="L1250" s="40"/>
      <c r="M1250" s="28"/>
      <c r="N1250" s="10"/>
      <c r="O1250" s="15"/>
      <c r="P1250" s="16"/>
      <c r="Q1250" s="15"/>
      <c r="R1250" s="17"/>
    </row>
    <row r="1251">
      <c r="A1251" s="38"/>
      <c r="B1251" s="8"/>
      <c r="C1251" s="9"/>
      <c r="D1251" s="8"/>
      <c r="E1251" s="8"/>
      <c r="F1251" s="8"/>
      <c r="G1251" s="9"/>
      <c r="H1251" s="8"/>
      <c r="I1251" s="8"/>
      <c r="J1251" s="11"/>
      <c r="K1251" s="39"/>
      <c r="L1251" s="40"/>
      <c r="M1251" s="28"/>
      <c r="N1251" s="10"/>
      <c r="O1251" s="15"/>
      <c r="P1251" s="16"/>
      <c r="Q1251" s="15"/>
      <c r="R1251" s="17"/>
    </row>
    <row r="1252">
      <c r="A1252" s="38"/>
      <c r="B1252" s="8"/>
      <c r="C1252" s="9"/>
      <c r="D1252" s="8"/>
      <c r="E1252" s="8"/>
      <c r="F1252" s="8"/>
      <c r="G1252" s="9"/>
      <c r="H1252" s="8"/>
      <c r="I1252" s="8"/>
      <c r="J1252" s="11"/>
      <c r="K1252" s="39"/>
      <c r="L1252" s="40"/>
      <c r="M1252" s="28"/>
      <c r="N1252" s="10"/>
      <c r="O1252" s="15"/>
      <c r="P1252" s="16"/>
      <c r="Q1252" s="15"/>
      <c r="R1252" s="17"/>
    </row>
    <row r="1253">
      <c r="A1253" s="38"/>
      <c r="B1253" s="8"/>
      <c r="C1253" s="9"/>
      <c r="D1253" s="8"/>
      <c r="E1253" s="8"/>
      <c r="F1253" s="8"/>
      <c r="G1253" s="9"/>
      <c r="H1253" s="8"/>
      <c r="I1253" s="8"/>
      <c r="J1253" s="11"/>
      <c r="K1253" s="39"/>
      <c r="L1253" s="40"/>
      <c r="M1253" s="28"/>
      <c r="N1253" s="10"/>
      <c r="O1253" s="15"/>
      <c r="P1253" s="16"/>
      <c r="Q1253" s="15"/>
      <c r="R1253" s="17"/>
    </row>
    <row r="1254">
      <c r="A1254" s="38"/>
      <c r="B1254" s="8"/>
      <c r="C1254" s="9"/>
      <c r="D1254" s="8"/>
      <c r="E1254" s="8"/>
      <c r="F1254" s="8"/>
      <c r="G1254" s="9"/>
      <c r="H1254" s="8"/>
      <c r="I1254" s="8"/>
      <c r="J1254" s="11"/>
      <c r="K1254" s="39"/>
      <c r="L1254" s="40"/>
      <c r="M1254" s="28"/>
      <c r="N1254" s="10"/>
      <c r="O1254" s="15"/>
      <c r="P1254" s="16"/>
      <c r="Q1254" s="15"/>
      <c r="R1254" s="17"/>
    </row>
    <row r="1255">
      <c r="A1255" s="38"/>
      <c r="B1255" s="8"/>
      <c r="C1255" s="9"/>
      <c r="D1255" s="8"/>
      <c r="E1255" s="8"/>
      <c r="F1255" s="8"/>
      <c r="G1255" s="9"/>
      <c r="H1255" s="8"/>
      <c r="I1255" s="8"/>
      <c r="J1255" s="11"/>
      <c r="K1255" s="39"/>
      <c r="L1255" s="40"/>
      <c r="M1255" s="28"/>
      <c r="N1255" s="10"/>
      <c r="O1255" s="15"/>
      <c r="P1255" s="16"/>
      <c r="Q1255" s="15"/>
      <c r="R1255" s="17"/>
    </row>
    <row r="1256">
      <c r="A1256" s="38"/>
      <c r="B1256" s="8"/>
      <c r="C1256" s="9"/>
      <c r="D1256" s="8"/>
      <c r="E1256" s="8"/>
      <c r="F1256" s="8"/>
      <c r="G1256" s="9"/>
      <c r="H1256" s="8"/>
      <c r="I1256" s="8"/>
      <c r="J1256" s="11"/>
      <c r="K1256" s="39"/>
      <c r="L1256" s="40"/>
      <c r="M1256" s="28"/>
      <c r="N1256" s="10"/>
      <c r="O1256" s="15"/>
      <c r="P1256" s="16"/>
      <c r="Q1256" s="15"/>
      <c r="R1256" s="17"/>
    </row>
    <row r="1257">
      <c r="A1257" s="38"/>
      <c r="B1257" s="8"/>
      <c r="C1257" s="9"/>
      <c r="D1257" s="8"/>
      <c r="E1257" s="8"/>
      <c r="F1257" s="8"/>
      <c r="G1257" s="9"/>
      <c r="H1257" s="8"/>
      <c r="I1257" s="8"/>
      <c r="J1257" s="11"/>
      <c r="K1257" s="39"/>
      <c r="L1257" s="40"/>
      <c r="M1257" s="28"/>
      <c r="N1257" s="10"/>
      <c r="O1257" s="15"/>
      <c r="P1257" s="16"/>
      <c r="Q1257" s="15"/>
      <c r="R1257" s="17"/>
    </row>
    <row r="1258">
      <c r="A1258" s="38"/>
      <c r="B1258" s="8"/>
      <c r="C1258" s="9"/>
      <c r="D1258" s="8"/>
      <c r="E1258" s="8"/>
      <c r="F1258" s="8"/>
      <c r="G1258" s="9"/>
      <c r="H1258" s="8"/>
      <c r="I1258" s="8"/>
      <c r="J1258" s="11"/>
      <c r="K1258" s="39"/>
      <c r="L1258" s="40"/>
      <c r="M1258" s="28"/>
      <c r="N1258" s="10"/>
      <c r="O1258" s="15"/>
      <c r="P1258" s="16"/>
      <c r="Q1258" s="15"/>
      <c r="R1258" s="17"/>
    </row>
    <row r="1259">
      <c r="A1259" s="38"/>
      <c r="B1259" s="8"/>
      <c r="C1259" s="9"/>
      <c r="D1259" s="8"/>
      <c r="E1259" s="8"/>
      <c r="F1259" s="8"/>
      <c r="G1259" s="9"/>
      <c r="H1259" s="8"/>
      <c r="I1259" s="8"/>
      <c r="J1259" s="11"/>
      <c r="K1259" s="39"/>
      <c r="L1259" s="40"/>
      <c r="M1259" s="28"/>
      <c r="N1259" s="10"/>
      <c r="O1259" s="15"/>
      <c r="P1259" s="16"/>
      <c r="Q1259" s="15"/>
      <c r="R1259" s="17"/>
    </row>
    <row r="1260">
      <c r="A1260" s="38"/>
      <c r="B1260" s="8"/>
      <c r="C1260" s="9"/>
      <c r="D1260" s="8"/>
      <c r="E1260" s="8"/>
      <c r="F1260" s="8"/>
      <c r="G1260" s="9"/>
      <c r="H1260" s="8"/>
      <c r="I1260" s="8"/>
      <c r="J1260" s="11"/>
      <c r="K1260" s="39"/>
      <c r="L1260" s="40"/>
      <c r="M1260" s="28"/>
      <c r="N1260" s="10"/>
      <c r="O1260" s="15"/>
      <c r="P1260" s="16"/>
      <c r="Q1260" s="15"/>
      <c r="R1260" s="17"/>
    </row>
    <row r="1261">
      <c r="A1261" s="38"/>
      <c r="B1261" s="8"/>
      <c r="C1261" s="9"/>
      <c r="D1261" s="8"/>
      <c r="E1261" s="8"/>
      <c r="F1261" s="8"/>
      <c r="G1261" s="9"/>
      <c r="H1261" s="8"/>
      <c r="I1261" s="8"/>
      <c r="J1261" s="11"/>
      <c r="K1261" s="39"/>
      <c r="L1261" s="40"/>
      <c r="M1261" s="28"/>
      <c r="N1261" s="10"/>
      <c r="O1261" s="15"/>
      <c r="P1261" s="16"/>
      <c r="Q1261" s="15"/>
      <c r="R1261" s="17"/>
    </row>
    <row r="1262">
      <c r="A1262" s="38"/>
      <c r="B1262" s="8"/>
      <c r="C1262" s="9"/>
      <c r="D1262" s="8"/>
      <c r="E1262" s="8"/>
      <c r="F1262" s="8"/>
      <c r="G1262" s="9"/>
      <c r="H1262" s="8"/>
      <c r="I1262" s="8"/>
      <c r="J1262" s="11"/>
      <c r="K1262" s="39"/>
      <c r="L1262" s="40"/>
      <c r="M1262" s="28"/>
      <c r="N1262" s="10"/>
      <c r="O1262" s="15"/>
      <c r="P1262" s="16"/>
      <c r="Q1262" s="15"/>
      <c r="R1262" s="17"/>
    </row>
    <row r="1263">
      <c r="A1263" s="38"/>
      <c r="B1263" s="8"/>
      <c r="C1263" s="9"/>
      <c r="D1263" s="8"/>
      <c r="E1263" s="8"/>
      <c r="F1263" s="8"/>
      <c r="G1263" s="9"/>
      <c r="H1263" s="8"/>
      <c r="I1263" s="8"/>
      <c r="J1263" s="11"/>
      <c r="K1263" s="39"/>
      <c r="L1263" s="40"/>
      <c r="M1263" s="28"/>
      <c r="N1263" s="10"/>
      <c r="O1263" s="15"/>
      <c r="P1263" s="16"/>
      <c r="Q1263" s="15"/>
      <c r="R1263" s="17"/>
    </row>
    <row r="1264">
      <c r="A1264" s="38"/>
      <c r="B1264" s="8"/>
      <c r="C1264" s="9"/>
      <c r="D1264" s="8"/>
      <c r="E1264" s="8"/>
      <c r="F1264" s="8"/>
      <c r="G1264" s="9"/>
      <c r="H1264" s="8"/>
      <c r="I1264" s="8"/>
      <c r="J1264" s="11"/>
      <c r="K1264" s="39"/>
      <c r="L1264" s="40"/>
      <c r="M1264" s="28"/>
      <c r="N1264" s="10"/>
      <c r="O1264" s="15"/>
      <c r="P1264" s="16"/>
      <c r="Q1264" s="15"/>
      <c r="R1264" s="17"/>
    </row>
    <row r="1265">
      <c r="A1265" s="38"/>
      <c r="B1265" s="8"/>
      <c r="C1265" s="9"/>
      <c r="D1265" s="8"/>
      <c r="E1265" s="8"/>
      <c r="F1265" s="8"/>
      <c r="G1265" s="9"/>
      <c r="H1265" s="8"/>
      <c r="I1265" s="8"/>
      <c r="J1265" s="11"/>
      <c r="K1265" s="39"/>
      <c r="L1265" s="40"/>
      <c r="M1265" s="28"/>
      <c r="N1265" s="10"/>
      <c r="O1265" s="15"/>
      <c r="P1265" s="16"/>
      <c r="Q1265" s="15"/>
      <c r="R1265" s="17"/>
    </row>
    <row r="1266">
      <c r="A1266" s="38"/>
      <c r="B1266" s="8"/>
      <c r="C1266" s="9"/>
      <c r="D1266" s="8"/>
      <c r="E1266" s="8"/>
      <c r="F1266" s="8"/>
      <c r="G1266" s="9"/>
      <c r="H1266" s="8"/>
      <c r="I1266" s="8"/>
      <c r="J1266" s="11"/>
      <c r="K1266" s="39"/>
      <c r="L1266" s="40"/>
      <c r="M1266" s="28"/>
      <c r="N1266" s="10"/>
      <c r="O1266" s="15"/>
      <c r="P1266" s="16"/>
      <c r="Q1266" s="15"/>
      <c r="R1266" s="17"/>
    </row>
    <row r="1267">
      <c r="A1267" s="38"/>
      <c r="B1267" s="8"/>
      <c r="C1267" s="9"/>
      <c r="D1267" s="8"/>
      <c r="E1267" s="8"/>
      <c r="F1267" s="8"/>
      <c r="G1267" s="9"/>
      <c r="H1267" s="8"/>
      <c r="I1267" s="8"/>
      <c r="J1267" s="11"/>
      <c r="K1267" s="39"/>
      <c r="L1267" s="40"/>
      <c r="M1267" s="28"/>
      <c r="N1267" s="10"/>
      <c r="O1267" s="15"/>
      <c r="P1267" s="16"/>
      <c r="Q1267" s="15"/>
      <c r="R1267" s="17"/>
    </row>
    <row r="1268">
      <c r="A1268" s="38"/>
      <c r="B1268" s="8"/>
      <c r="C1268" s="9"/>
      <c r="D1268" s="8"/>
      <c r="E1268" s="8"/>
      <c r="F1268" s="8"/>
      <c r="G1268" s="9"/>
      <c r="H1268" s="8"/>
      <c r="I1268" s="8"/>
      <c r="J1268" s="11"/>
      <c r="K1268" s="39"/>
      <c r="L1268" s="40"/>
      <c r="M1268" s="28"/>
      <c r="N1268" s="10"/>
      <c r="O1268" s="15"/>
      <c r="P1268" s="16"/>
      <c r="Q1268" s="15"/>
      <c r="R1268" s="17"/>
    </row>
    <row r="1269">
      <c r="A1269" s="38"/>
      <c r="B1269" s="8"/>
      <c r="C1269" s="9"/>
      <c r="D1269" s="8"/>
      <c r="E1269" s="8"/>
      <c r="F1269" s="8"/>
      <c r="G1269" s="9"/>
      <c r="H1269" s="8"/>
      <c r="I1269" s="8"/>
      <c r="J1269" s="11"/>
      <c r="K1269" s="39"/>
      <c r="L1269" s="40"/>
      <c r="M1269" s="28"/>
      <c r="N1269" s="10"/>
      <c r="O1269" s="15"/>
      <c r="P1269" s="16"/>
      <c r="Q1269" s="15"/>
      <c r="R1269" s="17"/>
    </row>
    <row r="1270">
      <c r="A1270" s="38"/>
      <c r="B1270" s="8"/>
      <c r="C1270" s="9"/>
      <c r="D1270" s="8"/>
      <c r="E1270" s="8"/>
      <c r="F1270" s="8"/>
      <c r="G1270" s="9"/>
      <c r="H1270" s="8"/>
      <c r="I1270" s="8"/>
      <c r="J1270" s="11"/>
      <c r="K1270" s="39"/>
      <c r="L1270" s="40"/>
      <c r="M1270" s="28"/>
      <c r="N1270" s="10"/>
      <c r="O1270" s="15"/>
      <c r="P1270" s="16"/>
      <c r="Q1270" s="15"/>
      <c r="R1270" s="17"/>
    </row>
    <row r="1271">
      <c r="A1271" s="38"/>
      <c r="B1271" s="8"/>
      <c r="C1271" s="9"/>
      <c r="D1271" s="8"/>
      <c r="E1271" s="8"/>
      <c r="F1271" s="8"/>
      <c r="G1271" s="9"/>
      <c r="H1271" s="8"/>
      <c r="I1271" s="8"/>
      <c r="J1271" s="11"/>
      <c r="K1271" s="39"/>
      <c r="L1271" s="40"/>
      <c r="M1271" s="28"/>
      <c r="N1271" s="10"/>
      <c r="O1271" s="15"/>
      <c r="P1271" s="16"/>
      <c r="Q1271" s="15"/>
      <c r="R1271" s="17"/>
    </row>
    <row r="1272">
      <c r="A1272" s="38"/>
      <c r="B1272" s="8"/>
      <c r="C1272" s="9"/>
      <c r="D1272" s="8"/>
      <c r="E1272" s="8"/>
      <c r="F1272" s="8"/>
      <c r="G1272" s="9"/>
      <c r="H1272" s="8"/>
      <c r="I1272" s="8"/>
      <c r="J1272" s="11"/>
      <c r="K1272" s="39"/>
      <c r="L1272" s="40"/>
      <c r="M1272" s="28"/>
      <c r="N1272" s="10"/>
      <c r="O1272" s="15"/>
      <c r="P1272" s="16"/>
      <c r="Q1272" s="15"/>
      <c r="R1272" s="17"/>
    </row>
    <row r="1273">
      <c r="A1273" s="38"/>
      <c r="B1273" s="8"/>
      <c r="C1273" s="9"/>
      <c r="D1273" s="8"/>
      <c r="E1273" s="8"/>
      <c r="F1273" s="8"/>
      <c r="G1273" s="9"/>
      <c r="H1273" s="8"/>
      <c r="I1273" s="8"/>
      <c r="J1273" s="11"/>
      <c r="K1273" s="39"/>
      <c r="L1273" s="40"/>
      <c r="M1273" s="28"/>
      <c r="N1273" s="10"/>
      <c r="O1273" s="15"/>
      <c r="P1273" s="16"/>
      <c r="Q1273" s="15"/>
      <c r="R1273" s="17"/>
    </row>
    <row r="1274">
      <c r="A1274" s="38"/>
      <c r="B1274" s="8"/>
      <c r="C1274" s="9"/>
      <c r="D1274" s="8"/>
      <c r="E1274" s="8"/>
      <c r="F1274" s="8"/>
      <c r="G1274" s="9"/>
      <c r="H1274" s="8"/>
      <c r="I1274" s="8"/>
      <c r="J1274" s="11"/>
      <c r="K1274" s="39"/>
      <c r="L1274" s="40"/>
      <c r="M1274" s="28"/>
      <c r="N1274" s="10"/>
      <c r="O1274" s="15"/>
      <c r="P1274" s="16"/>
      <c r="Q1274" s="15"/>
      <c r="R1274" s="17"/>
    </row>
    <row r="1275">
      <c r="A1275" s="38"/>
      <c r="B1275" s="8"/>
      <c r="C1275" s="9"/>
      <c r="D1275" s="8"/>
      <c r="E1275" s="8"/>
      <c r="F1275" s="8"/>
      <c r="G1275" s="9"/>
      <c r="H1275" s="8"/>
      <c r="I1275" s="8"/>
      <c r="J1275" s="11"/>
      <c r="K1275" s="39"/>
      <c r="L1275" s="40"/>
      <c r="M1275" s="28"/>
      <c r="N1275" s="10"/>
      <c r="O1275" s="15"/>
      <c r="P1275" s="16"/>
      <c r="Q1275" s="15"/>
      <c r="R1275" s="17"/>
    </row>
    <row r="1276">
      <c r="A1276" s="38"/>
      <c r="B1276" s="8"/>
      <c r="C1276" s="9"/>
      <c r="D1276" s="8"/>
      <c r="E1276" s="8"/>
      <c r="F1276" s="8"/>
      <c r="G1276" s="9"/>
      <c r="H1276" s="8"/>
      <c r="I1276" s="8"/>
      <c r="J1276" s="11"/>
      <c r="K1276" s="39"/>
      <c r="L1276" s="40"/>
      <c r="M1276" s="28"/>
      <c r="N1276" s="10"/>
      <c r="O1276" s="15"/>
      <c r="P1276" s="16"/>
      <c r="Q1276" s="15"/>
      <c r="R1276" s="17"/>
    </row>
    <row r="1277">
      <c r="A1277" s="38"/>
      <c r="B1277" s="8"/>
      <c r="C1277" s="9"/>
      <c r="D1277" s="8"/>
      <c r="E1277" s="8"/>
      <c r="F1277" s="8"/>
      <c r="G1277" s="9"/>
      <c r="H1277" s="8"/>
      <c r="I1277" s="8"/>
      <c r="J1277" s="11"/>
      <c r="K1277" s="39"/>
      <c r="L1277" s="40"/>
      <c r="M1277" s="28"/>
      <c r="N1277" s="10"/>
      <c r="O1277" s="15"/>
      <c r="P1277" s="16"/>
      <c r="Q1277" s="15"/>
      <c r="R1277" s="17"/>
    </row>
    <row r="1278">
      <c r="A1278" s="38"/>
      <c r="B1278" s="8"/>
      <c r="C1278" s="9"/>
      <c r="D1278" s="8"/>
      <c r="E1278" s="8"/>
      <c r="F1278" s="8"/>
      <c r="G1278" s="9"/>
      <c r="H1278" s="8"/>
      <c r="I1278" s="8"/>
      <c r="J1278" s="11"/>
      <c r="K1278" s="39"/>
      <c r="L1278" s="40"/>
      <c r="M1278" s="28"/>
      <c r="N1278" s="10"/>
      <c r="O1278" s="15"/>
      <c r="P1278" s="16"/>
      <c r="Q1278" s="15"/>
      <c r="R1278" s="17"/>
    </row>
    <row r="1279">
      <c r="A1279" s="38"/>
      <c r="B1279" s="8"/>
      <c r="C1279" s="9"/>
      <c r="D1279" s="8"/>
      <c r="E1279" s="8"/>
      <c r="F1279" s="8"/>
      <c r="G1279" s="9"/>
      <c r="H1279" s="8"/>
      <c r="I1279" s="8"/>
      <c r="J1279" s="11"/>
      <c r="K1279" s="39"/>
      <c r="L1279" s="40"/>
      <c r="M1279" s="28"/>
      <c r="N1279" s="10"/>
      <c r="O1279" s="15"/>
      <c r="P1279" s="16"/>
      <c r="Q1279" s="15"/>
      <c r="R1279" s="17"/>
    </row>
    <row r="1280">
      <c r="A1280" s="38"/>
      <c r="B1280" s="8"/>
      <c r="C1280" s="9"/>
      <c r="D1280" s="8"/>
      <c r="E1280" s="8"/>
      <c r="F1280" s="8"/>
      <c r="G1280" s="9"/>
      <c r="H1280" s="8"/>
      <c r="I1280" s="8"/>
      <c r="J1280" s="11"/>
      <c r="K1280" s="39"/>
      <c r="L1280" s="40"/>
      <c r="M1280" s="28"/>
      <c r="N1280" s="10"/>
      <c r="O1280" s="15"/>
      <c r="P1280" s="16"/>
      <c r="Q1280" s="15"/>
      <c r="R1280" s="17"/>
    </row>
    <row r="1281">
      <c r="A1281" s="38"/>
      <c r="B1281" s="8"/>
      <c r="C1281" s="9"/>
      <c r="D1281" s="8"/>
      <c r="E1281" s="8"/>
      <c r="F1281" s="8"/>
      <c r="G1281" s="9"/>
      <c r="H1281" s="8"/>
      <c r="I1281" s="8"/>
      <c r="J1281" s="11"/>
      <c r="K1281" s="39"/>
      <c r="L1281" s="40"/>
      <c r="M1281" s="28"/>
      <c r="N1281" s="10"/>
      <c r="O1281" s="15"/>
      <c r="P1281" s="16"/>
      <c r="Q1281" s="15"/>
      <c r="R1281" s="17"/>
    </row>
    <row r="1282">
      <c r="A1282" s="38"/>
      <c r="B1282" s="8"/>
      <c r="C1282" s="9"/>
      <c r="D1282" s="8"/>
      <c r="E1282" s="8"/>
      <c r="F1282" s="8"/>
      <c r="G1282" s="9"/>
      <c r="H1282" s="8"/>
      <c r="I1282" s="8"/>
      <c r="J1282" s="11"/>
      <c r="K1282" s="39"/>
      <c r="L1282" s="40"/>
      <c r="M1282" s="28"/>
      <c r="N1282" s="10"/>
      <c r="O1282" s="15"/>
      <c r="P1282" s="16"/>
      <c r="Q1282" s="15"/>
      <c r="R1282" s="17"/>
    </row>
    <row r="1283">
      <c r="A1283" s="38"/>
      <c r="B1283" s="8"/>
      <c r="C1283" s="9"/>
      <c r="D1283" s="8"/>
      <c r="E1283" s="8"/>
      <c r="F1283" s="8"/>
      <c r="G1283" s="9"/>
      <c r="H1283" s="8"/>
      <c r="I1283" s="8"/>
      <c r="J1283" s="11"/>
      <c r="K1283" s="39"/>
      <c r="L1283" s="40"/>
      <c r="M1283" s="28"/>
      <c r="N1283" s="10"/>
      <c r="O1283" s="15"/>
      <c r="P1283" s="16"/>
      <c r="Q1283" s="15"/>
      <c r="R1283" s="17"/>
    </row>
    <row r="1284">
      <c r="A1284" s="38"/>
      <c r="B1284" s="8"/>
      <c r="C1284" s="9"/>
      <c r="D1284" s="8"/>
      <c r="E1284" s="8"/>
      <c r="F1284" s="8"/>
      <c r="G1284" s="9"/>
      <c r="H1284" s="8"/>
      <c r="I1284" s="8"/>
      <c r="J1284" s="11"/>
      <c r="K1284" s="39"/>
      <c r="L1284" s="40"/>
      <c r="M1284" s="28"/>
      <c r="N1284" s="10"/>
      <c r="O1284" s="15"/>
      <c r="P1284" s="16"/>
      <c r="Q1284" s="15"/>
      <c r="R1284" s="17"/>
    </row>
    <row r="1285">
      <c r="A1285" s="38"/>
      <c r="B1285" s="8"/>
      <c r="C1285" s="9"/>
      <c r="D1285" s="8"/>
      <c r="E1285" s="8"/>
      <c r="F1285" s="8"/>
      <c r="G1285" s="9"/>
      <c r="H1285" s="8"/>
      <c r="I1285" s="8"/>
      <c r="J1285" s="11"/>
      <c r="K1285" s="39"/>
      <c r="L1285" s="40"/>
      <c r="M1285" s="28"/>
      <c r="N1285" s="10"/>
      <c r="O1285" s="15"/>
      <c r="P1285" s="16"/>
      <c r="Q1285" s="15"/>
      <c r="R1285" s="17"/>
    </row>
    <row r="1286">
      <c r="A1286" s="38"/>
      <c r="B1286" s="8"/>
      <c r="C1286" s="9"/>
      <c r="D1286" s="8"/>
      <c r="E1286" s="8"/>
      <c r="F1286" s="8"/>
      <c r="G1286" s="9"/>
      <c r="H1286" s="8"/>
      <c r="I1286" s="8"/>
      <c r="J1286" s="11"/>
      <c r="K1286" s="39"/>
      <c r="L1286" s="40"/>
      <c r="M1286" s="28"/>
      <c r="N1286" s="10"/>
      <c r="O1286" s="15"/>
      <c r="P1286" s="16"/>
      <c r="Q1286" s="15"/>
      <c r="R1286" s="17"/>
    </row>
    <row r="1287">
      <c r="A1287" s="38"/>
      <c r="B1287" s="8"/>
      <c r="C1287" s="9"/>
      <c r="D1287" s="8"/>
      <c r="E1287" s="8"/>
      <c r="F1287" s="8"/>
      <c r="G1287" s="9"/>
      <c r="H1287" s="8"/>
      <c r="I1287" s="8"/>
      <c r="J1287" s="11"/>
      <c r="K1287" s="39"/>
      <c r="L1287" s="40"/>
      <c r="M1287" s="28"/>
      <c r="N1287" s="10"/>
      <c r="O1287" s="15"/>
      <c r="P1287" s="16"/>
      <c r="Q1287" s="15"/>
      <c r="R1287" s="17"/>
    </row>
    <row r="1288">
      <c r="A1288" s="38"/>
      <c r="B1288" s="8"/>
      <c r="C1288" s="9"/>
      <c r="D1288" s="8"/>
      <c r="E1288" s="8"/>
      <c r="F1288" s="8"/>
      <c r="G1288" s="9"/>
      <c r="H1288" s="8"/>
      <c r="I1288" s="8"/>
      <c r="J1288" s="11"/>
      <c r="K1288" s="39"/>
      <c r="L1288" s="40"/>
      <c r="M1288" s="28"/>
      <c r="N1288" s="10"/>
      <c r="O1288" s="15"/>
      <c r="P1288" s="16"/>
      <c r="Q1288" s="15"/>
      <c r="R1288" s="17"/>
    </row>
    <row r="1289">
      <c r="A1289" s="38"/>
      <c r="B1289" s="8"/>
      <c r="C1289" s="9"/>
      <c r="D1289" s="8"/>
      <c r="E1289" s="8"/>
      <c r="F1289" s="8"/>
      <c r="G1289" s="9"/>
      <c r="H1289" s="8"/>
      <c r="I1289" s="8"/>
      <c r="J1289" s="11"/>
      <c r="K1289" s="39"/>
      <c r="L1289" s="40"/>
      <c r="M1289" s="28"/>
      <c r="N1289" s="10"/>
      <c r="O1289" s="15"/>
      <c r="P1289" s="16"/>
      <c r="Q1289" s="15"/>
      <c r="R1289" s="17"/>
    </row>
    <row r="1290">
      <c r="A1290" s="38"/>
      <c r="B1290" s="8"/>
      <c r="C1290" s="9"/>
      <c r="D1290" s="8"/>
      <c r="E1290" s="8"/>
      <c r="F1290" s="8"/>
      <c r="G1290" s="9"/>
      <c r="H1290" s="8"/>
      <c r="I1290" s="8"/>
      <c r="J1290" s="11"/>
      <c r="K1290" s="39"/>
      <c r="L1290" s="40"/>
      <c r="M1290" s="28"/>
      <c r="N1290" s="10"/>
      <c r="O1290" s="15"/>
      <c r="P1290" s="16"/>
      <c r="Q1290" s="15"/>
      <c r="R1290" s="17"/>
    </row>
    <row r="1291">
      <c r="A1291" s="38"/>
      <c r="B1291" s="8"/>
      <c r="C1291" s="9"/>
      <c r="D1291" s="8"/>
      <c r="E1291" s="8"/>
      <c r="F1291" s="8"/>
      <c r="G1291" s="9"/>
      <c r="H1291" s="8"/>
      <c r="I1291" s="8"/>
      <c r="J1291" s="11"/>
      <c r="K1291" s="39"/>
      <c r="L1291" s="40"/>
      <c r="M1291" s="28"/>
      <c r="N1291" s="10"/>
      <c r="O1291" s="15"/>
      <c r="P1291" s="16"/>
      <c r="Q1291" s="15"/>
      <c r="R1291" s="17"/>
    </row>
    <row r="1292">
      <c r="A1292" s="38"/>
      <c r="B1292" s="8"/>
      <c r="C1292" s="9"/>
      <c r="D1292" s="8"/>
      <c r="E1292" s="8"/>
      <c r="F1292" s="8"/>
      <c r="G1292" s="9"/>
      <c r="H1292" s="8"/>
      <c r="I1292" s="8"/>
      <c r="J1292" s="11"/>
      <c r="K1292" s="39"/>
      <c r="L1292" s="40"/>
      <c r="M1292" s="28"/>
      <c r="N1292" s="10"/>
      <c r="O1292" s="15"/>
      <c r="P1292" s="16"/>
      <c r="Q1292" s="15"/>
      <c r="R1292" s="17"/>
    </row>
    <row r="1293">
      <c r="A1293" s="38"/>
      <c r="B1293" s="8"/>
      <c r="C1293" s="9"/>
      <c r="D1293" s="8"/>
      <c r="E1293" s="8"/>
      <c r="F1293" s="8"/>
      <c r="G1293" s="9"/>
      <c r="H1293" s="8"/>
      <c r="I1293" s="8"/>
      <c r="J1293" s="11"/>
      <c r="K1293" s="39"/>
      <c r="L1293" s="40"/>
      <c r="M1293" s="28"/>
      <c r="N1293" s="10"/>
      <c r="O1293" s="15"/>
      <c r="P1293" s="16"/>
      <c r="Q1293" s="15"/>
      <c r="R1293" s="17"/>
    </row>
    <row r="1294">
      <c r="A1294" s="38"/>
      <c r="B1294" s="8"/>
      <c r="C1294" s="9"/>
      <c r="D1294" s="8"/>
      <c r="E1294" s="8"/>
      <c r="F1294" s="8"/>
      <c r="G1294" s="9"/>
      <c r="H1294" s="8"/>
      <c r="I1294" s="8"/>
      <c r="J1294" s="11"/>
      <c r="K1294" s="39"/>
      <c r="L1294" s="40"/>
      <c r="M1294" s="28"/>
      <c r="N1294" s="10"/>
      <c r="O1294" s="15"/>
      <c r="P1294" s="16"/>
      <c r="Q1294" s="15"/>
      <c r="R1294" s="17"/>
    </row>
    <row r="1295">
      <c r="A1295" s="38"/>
      <c r="B1295" s="8"/>
      <c r="C1295" s="9"/>
      <c r="D1295" s="8"/>
      <c r="E1295" s="8"/>
      <c r="F1295" s="8"/>
      <c r="G1295" s="9"/>
      <c r="H1295" s="8"/>
      <c r="I1295" s="8"/>
      <c r="J1295" s="11"/>
      <c r="K1295" s="39"/>
      <c r="L1295" s="40"/>
      <c r="M1295" s="28"/>
      <c r="N1295" s="10"/>
      <c r="O1295" s="15"/>
      <c r="P1295" s="16"/>
      <c r="Q1295" s="15"/>
      <c r="R1295" s="17"/>
    </row>
    <row r="1296">
      <c r="A1296" s="38"/>
      <c r="B1296" s="8"/>
      <c r="C1296" s="9"/>
      <c r="D1296" s="8"/>
      <c r="E1296" s="8"/>
      <c r="F1296" s="8"/>
      <c r="G1296" s="9"/>
      <c r="H1296" s="8"/>
      <c r="I1296" s="8"/>
      <c r="J1296" s="11"/>
      <c r="K1296" s="39"/>
      <c r="L1296" s="40"/>
      <c r="M1296" s="28"/>
      <c r="N1296" s="10"/>
      <c r="O1296" s="15"/>
      <c r="P1296" s="16"/>
      <c r="Q1296" s="15"/>
      <c r="R1296" s="17"/>
    </row>
    <row r="1297">
      <c r="A1297" s="38"/>
      <c r="B1297" s="8"/>
      <c r="C1297" s="9"/>
      <c r="D1297" s="8"/>
      <c r="E1297" s="8"/>
      <c r="F1297" s="8"/>
      <c r="G1297" s="9"/>
      <c r="H1297" s="8"/>
      <c r="I1297" s="8"/>
      <c r="J1297" s="11"/>
      <c r="K1297" s="39"/>
      <c r="L1297" s="40"/>
      <c r="M1297" s="28"/>
      <c r="N1297" s="10"/>
      <c r="O1297" s="15"/>
      <c r="P1297" s="16"/>
      <c r="Q1297" s="15"/>
      <c r="R1297" s="17"/>
    </row>
    <row r="1298">
      <c r="A1298" s="38"/>
      <c r="B1298" s="8"/>
      <c r="C1298" s="9"/>
      <c r="D1298" s="8"/>
      <c r="E1298" s="8"/>
      <c r="F1298" s="8"/>
      <c r="G1298" s="9"/>
      <c r="H1298" s="8"/>
      <c r="I1298" s="8"/>
      <c r="J1298" s="11"/>
      <c r="K1298" s="39"/>
      <c r="L1298" s="40"/>
      <c r="M1298" s="28"/>
      <c r="N1298" s="10"/>
      <c r="O1298" s="15"/>
      <c r="P1298" s="16"/>
      <c r="Q1298" s="15"/>
      <c r="R1298" s="17"/>
    </row>
    <row r="1299">
      <c r="A1299" s="38"/>
      <c r="B1299" s="8"/>
      <c r="C1299" s="9"/>
      <c r="D1299" s="8"/>
      <c r="E1299" s="8"/>
      <c r="F1299" s="8"/>
      <c r="G1299" s="9"/>
      <c r="H1299" s="8"/>
      <c r="I1299" s="8"/>
      <c r="J1299" s="11"/>
      <c r="K1299" s="39"/>
      <c r="L1299" s="40"/>
      <c r="M1299" s="28"/>
      <c r="N1299" s="10"/>
      <c r="O1299" s="15"/>
      <c r="P1299" s="16"/>
      <c r="Q1299" s="15"/>
      <c r="R1299" s="17"/>
    </row>
    <row r="1300">
      <c r="A1300" s="38"/>
      <c r="B1300" s="8"/>
      <c r="C1300" s="9"/>
      <c r="D1300" s="8"/>
      <c r="E1300" s="8"/>
      <c r="F1300" s="8"/>
      <c r="G1300" s="9"/>
      <c r="H1300" s="8"/>
      <c r="I1300" s="8"/>
      <c r="J1300" s="11"/>
      <c r="K1300" s="39"/>
      <c r="L1300" s="40"/>
      <c r="M1300" s="28"/>
      <c r="N1300" s="10"/>
      <c r="O1300" s="15"/>
      <c r="P1300" s="16"/>
      <c r="Q1300" s="15"/>
      <c r="R1300" s="17"/>
    </row>
    <row r="1301">
      <c r="A1301" s="38"/>
      <c r="B1301" s="8"/>
      <c r="C1301" s="9"/>
      <c r="D1301" s="8"/>
      <c r="E1301" s="8"/>
      <c r="F1301" s="8"/>
      <c r="G1301" s="9"/>
      <c r="H1301" s="8"/>
      <c r="I1301" s="8"/>
      <c r="J1301" s="11"/>
      <c r="K1301" s="39"/>
      <c r="L1301" s="40"/>
      <c r="M1301" s="28"/>
      <c r="N1301" s="10"/>
      <c r="O1301" s="15"/>
      <c r="P1301" s="16"/>
      <c r="Q1301" s="15"/>
      <c r="R1301" s="17"/>
    </row>
    <row r="1302">
      <c r="A1302" s="38"/>
      <c r="B1302" s="8"/>
      <c r="C1302" s="9"/>
      <c r="D1302" s="8"/>
      <c r="E1302" s="8"/>
      <c r="F1302" s="8"/>
      <c r="G1302" s="9"/>
      <c r="H1302" s="8"/>
      <c r="I1302" s="8"/>
      <c r="J1302" s="11"/>
      <c r="K1302" s="39"/>
      <c r="L1302" s="40"/>
      <c r="M1302" s="28"/>
      <c r="N1302" s="10"/>
      <c r="O1302" s="15"/>
      <c r="P1302" s="16"/>
      <c r="Q1302" s="15"/>
      <c r="R1302" s="17"/>
    </row>
    <row r="1303">
      <c r="A1303" s="38"/>
      <c r="B1303" s="8"/>
      <c r="C1303" s="9"/>
      <c r="D1303" s="8"/>
      <c r="E1303" s="8"/>
      <c r="F1303" s="8"/>
      <c r="G1303" s="9"/>
      <c r="H1303" s="8"/>
      <c r="I1303" s="8"/>
      <c r="J1303" s="11"/>
      <c r="K1303" s="39"/>
      <c r="L1303" s="40"/>
      <c r="M1303" s="28"/>
      <c r="N1303" s="10"/>
      <c r="O1303" s="15"/>
      <c r="P1303" s="16"/>
      <c r="Q1303" s="15"/>
      <c r="R1303" s="17"/>
    </row>
    <row r="1304">
      <c r="A1304" s="38"/>
      <c r="B1304" s="8"/>
      <c r="C1304" s="9"/>
      <c r="D1304" s="8"/>
      <c r="E1304" s="8"/>
      <c r="F1304" s="8"/>
      <c r="G1304" s="9"/>
      <c r="H1304" s="8"/>
      <c r="I1304" s="8"/>
      <c r="J1304" s="11"/>
      <c r="K1304" s="39"/>
      <c r="L1304" s="40"/>
      <c r="M1304" s="28"/>
      <c r="N1304" s="10"/>
      <c r="O1304" s="15"/>
      <c r="P1304" s="16"/>
      <c r="Q1304" s="15"/>
      <c r="R1304" s="17"/>
    </row>
    <row r="1305">
      <c r="A1305" s="38"/>
      <c r="B1305" s="8"/>
      <c r="C1305" s="9"/>
      <c r="D1305" s="8"/>
      <c r="E1305" s="8"/>
      <c r="F1305" s="8"/>
      <c r="G1305" s="9"/>
      <c r="H1305" s="8"/>
      <c r="I1305" s="8"/>
      <c r="J1305" s="11"/>
      <c r="K1305" s="39"/>
      <c r="L1305" s="40"/>
      <c r="M1305" s="28"/>
      <c r="N1305" s="10"/>
      <c r="O1305" s="15"/>
      <c r="P1305" s="16"/>
      <c r="Q1305" s="15"/>
      <c r="R1305" s="17"/>
    </row>
    <row r="1306">
      <c r="A1306" s="38"/>
      <c r="B1306" s="8"/>
      <c r="C1306" s="9"/>
      <c r="D1306" s="8"/>
      <c r="E1306" s="8"/>
      <c r="F1306" s="8"/>
      <c r="G1306" s="9"/>
      <c r="H1306" s="8"/>
      <c r="I1306" s="8"/>
      <c r="J1306" s="11"/>
      <c r="K1306" s="39"/>
      <c r="L1306" s="40"/>
      <c r="M1306" s="28"/>
      <c r="N1306" s="10"/>
      <c r="O1306" s="15"/>
      <c r="P1306" s="16"/>
      <c r="Q1306" s="15"/>
      <c r="R1306" s="17"/>
    </row>
    <row r="1307">
      <c r="A1307" s="38"/>
      <c r="B1307" s="8"/>
      <c r="C1307" s="9"/>
      <c r="D1307" s="8"/>
      <c r="E1307" s="8"/>
      <c r="F1307" s="8"/>
      <c r="G1307" s="9"/>
      <c r="H1307" s="8"/>
      <c r="I1307" s="8"/>
      <c r="J1307" s="11"/>
      <c r="K1307" s="39"/>
      <c r="L1307" s="40"/>
      <c r="M1307" s="28"/>
      <c r="N1307" s="10"/>
      <c r="O1307" s="15"/>
      <c r="P1307" s="16"/>
      <c r="Q1307" s="15"/>
      <c r="R1307" s="17"/>
    </row>
    <row r="1308">
      <c r="A1308" s="38"/>
      <c r="B1308" s="8"/>
      <c r="C1308" s="9"/>
      <c r="D1308" s="8"/>
      <c r="E1308" s="8"/>
      <c r="F1308" s="8"/>
      <c r="G1308" s="9"/>
      <c r="H1308" s="8"/>
      <c r="I1308" s="8"/>
      <c r="J1308" s="11"/>
      <c r="K1308" s="39"/>
      <c r="L1308" s="40"/>
      <c r="M1308" s="28"/>
      <c r="N1308" s="10"/>
      <c r="O1308" s="15"/>
      <c r="P1308" s="16"/>
      <c r="Q1308" s="15"/>
      <c r="R1308" s="17"/>
    </row>
    <row r="1309">
      <c r="A1309" s="38"/>
      <c r="B1309" s="8"/>
      <c r="C1309" s="9"/>
      <c r="D1309" s="8"/>
      <c r="E1309" s="8"/>
      <c r="F1309" s="8"/>
      <c r="G1309" s="9"/>
      <c r="H1309" s="8"/>
      <c r="I1309" s="8"/>
      <c r="J1309" s="11"/>
      <c r="K1309" s="39"/>
      <c r="L1309" s="40"/>
      <c r="M1309" s="28"/>
      <c r="N1309" s="10"/>
      <c r="O1309" s="15"/>
      <c r="P1309" s="16"/>
      <c r="Q1309" s="15"/>
      <c r="R1309" s="17"/>
    </row>
    <row r="1310">
      <c r="A1310" s="38"/>
      <c r="B1310" s="8"/>
      <c r="C1310" s="9"/>
      <c r="D1310" s="8"/>
      <c r="E1310" s="8"/>
      <c r="F1310" s="8"/>
      <c r="G1310" s="9"/>
      <c r="H1310" s="8"/>
      <c r="I1310" s="8"/>
      <c r="J1310" s="11"/>
      <c r="K1310" s="39"/>
      <c r="L1310" s="40"/>
      <c r="M1310" s="28"/>
      <c r="N1310" s="10"/>
      <c r="O1310" s="15"/>
      <c r="P1310" s="16"/>
      <c r="Q1310" s="15"/>
      <c r="R1310" s="17"/>
    </row>
    <row r="1311">
      <c r="A1311" s="38"/>
      <c r="B1311" s="8"/>
      <c r="C1311" s="9"/>
      <c r="D1311" s="8"/>
      <c r="E1311" s="8"/>
      <c r="F1311" s="8"/>
      <c r="G1311" s="9"/>
      <c r="H1311" s="8"/>
      <c r="I1311" s="8"/>
      <c r="J1311" s="11"/>
      <c r="K1311" s="39"/>
      <c r="L1311" s="40"/>
      <c r="M1311" s="28"/>
      <c r="N1311" s="10"/>
      <c r="O1311" s="15"/>
      <c r="P1311" s="16"/>
      <c r="Q1311" s="15"/>
      <c r="R1311" s="17"/>
    </row>
    <row r="1312">
      <c r="A1312" s="38"/>
      <c r="B1312" s="8"/>
      <c r="C1312" s="9"/>
      <c r="D1312" s="8"/>
      <c r="E1312" s="8"/>
      <c r="F1312" s="8"/>
      <c r="G1312" s="9"/>
      <c r="H1312" s="8"/>
      <c r="I1312" s="8"/>
      <c r="J1312" s="11"/>
      <c r="K1312" s="39"/>
      <c r="L1312" s="40"/>
      <c r="M1312" s="28"/>
      <c r="N1312" s="10"/>
      <c r="O1312" s="15"/>
      <c r="P1312" s="16"/>
      <c r="Q1312" s="15"/>
      <c r="R1312" s="17"/>
    </row>
    <row r="1313">
      <c r="A1313" s="38"/>
      <c r="B1313" s="8"/>
      <c r="C1313" s="9"/>
      <c r="D1313" s="8"/>
      <c r="E1313" s="8"/>
      <c r="F1313" s="8"/>
      <c r="G1313" s="9"/>
      <c r="H1313" s="8"/>
      <c r="I1313" s="8"/>
      <c r="J1313" s="11"/>
      <c r="K1313" s="39"/>
      <c r="L1313" s="40"/>
      <c r="M1313" s="28"/>
      <c r="N1313" s="10"/>
      <c r="O1313" s="15"/>
      <c r="P1313" s="16"/>
      <c r="Q1313" s="15"/>
      <c r="R1313" s="17"/>
    </row>
    <row r="1314">
      <c r="A1314" s="38"/>
      <c r="B1314" s="8"/>
      <c r="C1314" s="9"/>
      <c r="D1314" s="8"/>
      <c r="E1314" s="8"/>
      <c r="F1314" s="8"/>
      <c r="G1314" s="9"/>
      <c r="H1314" s="8"/>
      <c r="I1314" s="8"/>
      <c r="J1314" s="11"/>
      <c r="K1314" s="39"/>
      <c r="L1314" s="40"/>
      <c r="M1314" s="28"/>
      <c r="N1314" s="10"/>
      <c r="O1314" s="15"/>
      <c r="P1314" s="16"/>
      <c r="Q1314" s="15"/>
      <c r="R1314" s="17"/>
    </row>
    <row r="1315">
      <c r="A1315" s="38"/>
      <c r="B1315" s="8"/>
      <c r="C1315" s="9"/>
      <c r="D1315" s="8"/>
      <c r="E1315" s="8"/>
      <c r="F1315" s="8"/>
      <c r="G1315" s="9"/>
      <c r="H1315" s="8"/>
      <c r="I1315" s="8"/>
      <c r="J1315" s="11"/>
      <c r="K1315" s="39"/>
      <c r="L1315" s="40"/>
      <c r="M1315" s="28"/>
      <c r="N1315" s="10"/>
      <c r="O1315" s="15"/>
      <c r="P1315" s="16"/>
      <c r="Q1315" s="15"/>
      <c r="R1315" s="17"/>
    </row>
    <row r="1316">
      <c r="A1316" s="38"/>
      <c r="B1316" s="8"/>
      <c r="C1316" s="9"/>
      <c r="D1316" s="8"/>
      <c r="E1316" s="8"/>
      <c r="F1316" s="8"/>
      <c r="G1316" s="9"/>
      <c r="H1316" s="8"/>
      <c r="I1316" s="8"/>
      <c r="J1316" s="11"/>
      <c r="K1316" s="39"/>
      <c r="L1316" s="40"/>
      <c r="M1316" s="28"/>
      <c r="N1316" s="10"/>
      <c r="O1316" s="15"/>
      <c r="P1316" s="16"/>
      <c r="Q1316" s="15"/>
      <c r="R1316" s="17"/>
    </row>
    <row r="1317">
      <c r="A1317" s="38"/>
      <c r="B1317" s="8"/>
      <c r="C1317" s="9"/>
      <c r="D1317" s="8"/>
      <c r="E1317" s="8"/>
      <c r="F1317" s="8"/>
      <c r="G1317" s="9"/>
      <c r="H1317" s="8"/>
      <c r="I1317" s="8"/>
      <c r="J1317" s="11"/>
      <c r="K1317" s="39"/>
      <c r="L1317" s="40"/>
      <c r="M1317" s="28"/>
      <c r="N1317" s="10"/>
      <c r="O1317" s="15"/>
      <c r="P1317" s="16"/>
      <c r="Q1317" s="15"/>
      <c r="R1317" s="17"/>
    </row>
    <row r="1318">
      <c r="A1318" s="38"/>
      <c r="B1318" s="8"/>
      <c r="C1318" s="9"/>
      <c r="D1318" s="8"/>
      <c r="E1318" s="8"/>
      <c r="F1318" s="8"/>
      <c r="G1318" s="9"/>
      <c r="H1318" s="8"/>
      <c r="I1318" s="8"/>
      <c r="J1318" s="11"/>
      <c r="K1318" s="39"/>
      <c r="L1318" s="40"/>
      <c r="M1318" s="28"/>
      <c r="N1318" s="10"/>
      <c r="O1318" s="15"/>
      <c r="P1318" s="16"/>
      <c r="Q1318" s="15"/>
      <c r="R1318" s="17"/>
    </row>
    <row r="1319">
      <c r="A1319" s="38"/>
      <c r="B1319" s="8"/>
      <c r="C1319" s="9"/>
      <c r="D1319" s="8"/>
      <c r="E1319" s="8"/>
      <c r="F1319" s="8"/>
      <c r="G1319" s="9"/>
      <c r="H1319" s="8"/>
      <c r="I1319" s="8"/>
      <c r="J1319" s="11"/>
      <c r="K1319" s="39"/>
      <c r="L1319" s="40"/>
      <c r="M1319" s="28"/>
      <c r="N1319" s="10"/>
      <c r="O1319" s="15"/>
      <c r="P1319" s="16"/>
      <c r="Q1319" s="15"/>
      <c r="R1319" s="17"/>
    </row>
    <row r="1320">
      <c r="A1320" s="38"/>
      <c r="B1320" s="8"/>
      <c r="C1320" s="9"/>
      <c r="D1320" s="8"/>
      <c r="E1320" s="8"/>
      <c r="F1320" s="8"/>
      <c r="G1320" s="9"/>
      <c r="H1320" s="8"/>
      <c r="I1320" s="8"/>
      <c r="J1320" s="11"/>
      <c r="K1320" s="39"/>
      <c r="L1320" s="40"/>
      <c r="M1320" s="28"/>
      <c r="N1320" s="10"/>
      <c r="O1320" s="15"/>
      <c r="P1320" s="16"/>
      <c r="Q1320" s="15"/>
      <c r="R1320" s="17"/>
    </row>
    <row r="1321">
      <c r="A1321" s="38"/>
      <c r="B1321" s="8"/>
      <c r="C1321" s="9"/>
      <c r="D1321" s="8"/>
      <c r="E1321" s="8"/>
      <c r="F1321" s="8"/>
      <c r="G1321" s="9"/>
      <c r="H1321" s="8"/>
      <c r="I1321" s="8"/>
      <c r="J1321" s="11"/>
      <c r="K1321" s="39"/>
      <c r="L1321" s="40"/>
      <c r="M1321" s="28"/>
      <c r="N1321" s="10"/>
      <c r="O1321" s="15"/>
      <c r="P1321" s="16"/>
      <c r="Q1321" s="15"/>
      <c r="R1321" s="17"/>
    </row>
    <row r="1322">
      <c r="A1322" s="38"/>
      <c r="B1322" s="8"/>
      <c r="C1322" s="9"/>
      <c r="D1322" s="8"/>
      <c r="E1322" s="8"/>
      <c r="F1322" s="8"/>
      <c r="G1322" s="9"/>
      <c r="H1322" s="8"/>
      <c r="I1322" s="8"/>
      <c r="J1322" s="11"/>
      <c r="K1322" s="39"/>
      <c r="L1322" s="40"/>
      <c r="M1322" s="28"/>
      <c r="N1322" s="10"/>
      <c r="O1322" s="15"/>
      <c r="P1322" s="16"/>
      <c r="Q1322" s="15"/>
      <c r="R1322" s="17"/>
    </row>
    <row r="1323">
      <c r="A1323" s="38"/>
      <c r="B1323" s="8"/>
      <c r="C1323" s="9"/>
      <c r="D1323" s="8"/>
      <c r="E1323" s="8"/>
      <c r="F1323" s="8"/>
      <c r="G1323" s="9"/>
      <c r="H1323" s="8"/>
      <c r="I1323" s="8"/>
      <c r="J1323" s="11"/>
      <c r="K1323" s="39"/>
      <c r="L1323" s="40"/>
      <c r="M1323" s="28"/>
      <c r="N1323" s="10"/>
      <c r="O1323" s="15"/>
      <c r="P1323" s="16"/>
      <c r="Q1323" s="15"/>
      <c r="R1323" s="17"/>
    </row>
    <row r="1324">
      <c r="A1324" s="38"/>
      <c r="B1324" s="8"/>
      <c r="C1324" s="9"/>
      <c r="D1324" s="8"/>
      <c r="E1324" s="8"/>
      <c r="F1324" s="8"/>
      <c r="G1324" s="9"/>
      <c r="H1324" s="8"/>
      <c r="I1324" s="8"/>
      <c r="J1324" s="11"/>
      <c r="K1324" s="39"/>
      <c r="L1324" s="40"/>
      <c r="M1324" s="28"/>
      <c r="N1324" s="10"/>
      <c r="O1324" s="15"/>
      <c r="P1324" s="16"/>
      <c r="Q1324" s="15"/>
      <c r="R1324" s="17"/>
    </row>
    <row r="1325">
      <c r="A1325" s="38"/>
      <c r="B1325" s="8"/>
      <c r="C1325" s="9"/>
      <c r="D1325" s="8"/>
      <c r="E1325" s="8"/>
      <c r="F1325" s="8"/>
      <c r="G1325" s="9"/>
      <c r="H1325" s="8"/>
      <c r="I1325" s="8"/>
      <c r="J1325" s="11"/>
      <c r="K1325" s="39"/>
      <c r="L1325" s="40"/>
      <c r="M1325" s="28"/>
      <c r="N1325" s="10"/>
      <c r="O1325" s="15"/>
      <c r="P1325" s="16"/>
      <c r="Q1325" s="15"/>
      <c r="R1325" s="17"/>
    </row>
    <row r="1326">
      <c r="A1326" s="38"/>
      <c r="B1326" s="8"/>
      <c r="C1326" s="9"/>
      <c r="D1326" s="8"/>
      <c r="E1326" s="8"/>
      <c r="F1326" s="8"/>
      <c r="G1326" s="9"/>
      <c r="H1326" s="8"/>
      <c r="I1326" s="8"/>
      <c r="J1326" s="11"/>
      <c r="K1326" s="39"/>
      <c r="L1326" s="40"/>
      <c r="M1326" s="28"/>
      <c r="N1326" s="10"/>
      <c r="O1326" s="15"/>
      <c r="P1326" s="16"/>
      <c r="Q1326" s="15"/>
      <c r="R1326" s="17"/>
    </row>
    <row r="1327">
      <c r="A1327" s="38"/>
      <c r="B1327" s="8"/>
      <c r="C1327" s="9"/>
      <c r="D1327" s="8"/>
      <c r="E1327" s="8"/>
      <c r="F1327" s="8"/>
      <c r="G1327" s="9"/>
      <c r="H1327" s="8"/>
      <c r="I1327" s="8"/>
      <c r="J1327" s="11"/>
      <c r="K1327" s="39"/>
      <c r="L1327" s="40"/>
      <c r="M1327" s="28"/>
      <c r="N1327" s="10"/>
      <c r="O1327" s="15"/>
      <c r="P1327" s="16"/>
      <c r="Q1327" s="15"/>
      <c r="R1327" s="17"/>
    </row>
    <row r="1328">
      <c r="A1328" s="38"/>
      <c r="B1328" s="8"/>
      <c r="C1328" s="9"/>
      <c r="D1328" s="8"/>
      <c r="E1328" s="8"/>
      <c r="F1328" s="8"/>
      <c r="G1328" s="9"/>
      <c r="H1328" s="8"/>
      <c r="I1328" s="8"/>
      <c r="J1328" s="11"/>
      <c r="K1328" s="39"/>
      <c r="L1328" s="40"/>
      <c r="M1328" s="28"/>
      <c r="N1328" s="10"/>
      <c r="O1328" s="15"/>
      <c r="P1328" s="16"/>
      <c r="Q1328" s="15"/>
      <c r="R1328" s="17"/>
    </row>
    <row r="1329">
      <c r="A1329" s="38"/>
      <c r="B1329" s="8"/>
      <c r="C1329" s="9"/>
      <c r="D1329" s="8"/>
      <c r="E1329" s="8"/>
      <c r="F1329" s="8"/>
      <c r="G1329" s="9"/>
      <c r="H1329" s="8"/>
      <c r="I1329" s="8"/>
      <c r="J1329" s="11"/>
      <c r="K1329" s="39"/>
      <c r="L1329" s="40"/>
      <c r="M1329" s="28"/>
      <c r="N1329" s="10"/>
      <c r="O1329" s="15"/>
      <c r="P1329" s="16"/>
      <c r="Q1329" s="15"/>
      <c r="R1329" s="17"/>
    </row>
    <row r="1330">
      <c r="A1330" s="38"/>
      <c r="B1330" s="8"/>
      <c r="C1330" s="9"/>
      <c r="D1330" s="8"/>
      <c r="E1330" s="8"/>
      <c r="F1330" s="8"/>
      <c r="G1330" s="9"/>
      <c r="H1330" s="8"/>
      <c r="I1330" s="8"/>
      <c r="J1330" s="11"/>
      <c r="K1330" s="39"/>
      <c r="L1330" s="40"/>
      <c r="M1330" s="28"/>
      <c r="N1330" s="10"/>
      <c r="O1330" s="15"/>
      <c r="P1330" s="16"/>
      <c r="Q1330" s="15"/>
      <c r="R1330" s="17"/>
    </row>
    <row r="1331">
      <c r="A1331" s="38"/>
      <c r="B1331" s="8"/>
      <c r="C1331" s="9"/>
      <c r="D1331" s="8"/>
      <c r="E1331" s="8"/>
      <c r="F1331" s="8"/>
      <c r="G1331" s="9"/>
      <c r="H1331" s="8"/>
      <c r="I1331" s="8"/>
      <c r="J1331" s="11"/>
      <c r="K1331" s="39"/>
      <c r="L1331" s="40"/>
      <c r="M1331" s="28"/>
      <c r="N1331" s="10"/>
      <c r="O1331" s="15"/>
      <c r="P1331" s="16"/>
      <c r="Q1331" s="15"/>
      <c r="R1331" s="17"/>
    </row>
    <row r="1332">
      <c r="A1332" s="38"/>
      <c r="B1332" s="8"/>
      <c r="C1332" s="9"/>
      <c r="D1332" s="8"/>
      <c r="E1332" s="8"/>
      <c r="F1332" s="8"/>
      <c r="G1332" s="9"/>
      <c r="H1332" s="8"/>
      <c r="I1332" s="8"/>
      <c r="J1332" s="11"/>
      <c r="K1332" s="39"/>
      <c r="L1332" s="40"/>
      <c r="M1332" s="28"/>
      <c r="N1332" s="10"/>
      <c r="O1332" s="15"/>
      <c r="P1332" s="16"/>
      <c r="Q1332" s="15"/>
      <c r="R1332" s="17"/>
    </row>
    <row r="1333">
      <c r="A1333" s="38"/>
      <c r="B1333" s="8"/>
      <c r="C1333" s="9"/>
      <c r="D1333" s="8"/>
      <c r="E1333" s="8"/>
      <c r="F1333" s="8"/>
      <c r="G1333" s="9"/>
      <c r="H1333" s="8"/>
      <c r="I1333" s="8"/>
      <c r="J1333" s="11"/>
      <c r="K1333" s="39"/>
      <c r="L1333" s="40"/>
      <c r="M1333" s="28"/>
      <c r="N1333" s="10"/>
      <c r="O1333" s="15"/>
      <c r="P1333" s="16"/>
      <c r="Q1333" s="15"/>
      <c r="R1333" s="17"/>
    </row>
    <row r="1334">
      <c r="A1334" s="38"/>
      <c r="B1334" s="8"/>
      <c r="C1334" s="9"/>
      <c r="D1334" s="8"/>
      <c r="E1334" s="8"/>
      <c r="F1334" s="8"/>
      <c r="G1334" s="9"/>
      <c r="H1334" s="8"/>
      <c r="I1334" s="8"/>
      <c r="J1334" s="11"/>
      <c r="K1334" s="39"/>
      <c r="L1334" s="40"/>
      <c r="M1334" s="28"/>
      <c r="N1334" s="10"/>
      <c r="O1334" s="15"/>
      <c r="P1334" s="16"/>
      <c r="Q1334" s="15"/>
      <c r="R1334" s="17"/>
    </row>
    <row r="1335">
      <c r="A1335" s="38"/>
      <c r="B1335" s="8"/>
      <c r="C1335" s="9"/>
      <c r="D1335" s="8"/>
      <c r="E1335" s="8"/>
      <c r="F1335" s="8"/>
      <c r="G1335" s="9"/>
      <c r="H1335" s="8"/>
      <c r="I1335" s="8"/>
      <c r="J1335" s="11"/>
      <c r="K1335" s="39"/>
      <c r="L1335" s="40"/>
      <c r="M1335" s="28"/>
      <c r="N1335" s="10"/>
      <c r="O1335" s="15"/>
      <c r="P1335" s="16"/>
      <c r="Q1335" s="15"/>
      <c r="R1335" s="17"/>
    </row>
    <row r="1336">
      <c r="A1336" s="38"/>
      <c r="B1336" s="8"/>
      <c r="C1336" s="9"/>
      <c r="D1336" s="8"/>
      <c r="E1336" s="8"/>
      <c r="F1336" s="8"/>
      <c r="G1336" s="9"/>
      <c r="H1336" s="8"/>
      <c r="I1336" s="8"/>
      <c r="J1336" s="11"/>
      <c r="K1336" s="39"/>
      <c r="L1336" s="40"/>
      <c r="M1336" s="28"/>
      <c r="N1336" s="10"/>
      <c r="O1336" s="15"/>
      <c r="P1336" s="16"/>
      <c r="Q1336" s="15"/>
      <c r="R1336" s="17"/>
    </row>
    <row r="1337">
      <c r="A1337" s="38"/>
      <c r="B1337" s="8"/>
      <c r="C1337" s="9"/>
      <c r="D1337" s="8"/>
      <c r="E1337" s="8"/>
      <c r="F1337" s="8"/>
      <c r="G1337" s="9"/>
      <c r="H1337" s="8"/>
      <c r="I1337" s="8"/>
      <c r="J1337" s="11"/>
      <c r="K1337" s="39"/>
      <c r="L1337" s="40"/>
      <c r="M1337" s="28"/>
      <c r="N1337" s="10"/>
      <c r="O1337" s="15"/>
      <c r="P1337" s="16"/>
      <c r="Q1337" s="15"/>
      <c r="R1337" s="17"/>
    </row>
    <row r="1338">
      <c r="A1338" s="38"/>
      <c r="B1338" s="8"/>
      <c r="C1338" s="9"/>
      <c r="D1338" s="8"/>
      <c r="E1338" s="8"/>
      <c r="F1338" s="8"/>
      <c r="G1338" s="9"/>
      <c r="H1338" s="8"/>
      <c r="I1338" s="8"/>
      <c r="J1338" s="11"/>
      <c r="K1338" s="39"/>
      <c r="L1338" s="40"/>
      <c r="M1338" s="28"/>
      <c r="N1338" s="10"/>
      <c r="O1338" s="15"/>
      <c r="P1338" s="16"/>
      <c r="Q1338" s="15"/>
      <c r="R1338" s="17"/>
    </row>
    <row r="1339">
      <c r="A1339" s="38"/>
      <c r="B1339" s="8"/>
      <c r="C1339" s="9"/>
      <c r="D1339" s="8"/>
      <c r="E1339" s="8"/>
      <c r="F1339" s="8"/>
      <c r="G1339" s="9"/>
      <c r="H1339" s="8"/>
      <c r="I1339" s="8"/>
      <c r="J1339" s="11"/>
      <c r="K1339" s="39"/>
      <c r="L1339" s="40"/>
      <c r="M1339" s="28"/>
      <c r="N1339" s="10"/>
      <c r="O1339" s="15"/>
      <c r="P1339" s="16"/>
      <c r="Q1339" s="15"/>
      <c r="R1339" s="17"/>
    </row>
    <row r="1340">
      <c r="A1340" s="38"/>
      <c r="B1340" s="8"/>
      <c r="C1340" s="9"/>
      <c r="D1340" s="8"/>
      <c r="E1340" s="8"/>
      <c r="F1340" s="8"/>
      <c r="G1340" s="9"/>
      <c r="H1340" s="8"/>
      <c r="I1340" s="8"/>
      <c r="J1340" s="11"/>
      <c r="K1340" s="39"/>
      <c r="L1340" s="40"/>
      <c r="M1340" s="28"/>
      <c r="N1340" s="10"/>
      <c r="O1340" s="15"/>
      <c r="P1340" s="16"/>
      <c r="Q1340" s="15"/>
      <c r="R1340" s="17"/>
    </row>
    <row r="1341">
      <c r="A1341" s="38"/>
      <c r="B1341" s="8"/>
      <c r="C1341" s="9"/>
      <c r="D1341" s="8"/>
      <c r="E1341" s="8"/>
      <c r="F1341" s="8"/>
      <c r="G1341" s="9"/>
      <c r="H1341" s="8"/>
      <c r="I1341" s="8"/>
      <c r="J1341" s="11"/>
      <c r="K1341" s="39"/>
      <c r="L1341" s="40"/>
      <c r="M1341" s="28"/>
      <c r="N1341" s="10"/>
      <c r="O1341" s="15"/>
      <c r="P1341" s="16"/>
      <c r="Q1341" s="15"/>
      <c r="R1341" s="17"/>
    </row>
    <row r="1342">
      <c r="A1342" s="38"/>
      <c r="B1342" s="8"/>
      <c r="C1342" s="9"/>
      <c r="D1342" s="8"/>
      <c r="E1342" s="8"/>
      <c r="F1342" s="8"/>
      <c r="G1342" s="9"/>
      <c r="H1342" s="8"/>
      <c r="I1342" s="8"/>
      <c r="J1342" s="11"/>
      <c r="K1342" s="39"/>
      <c r="L1342" s="40"/>
      <c r="M1342" s="28"/>
      <c r="N1342" s="10"/>
      <c r="O1342" s="15"/>
      <c r="P1342" s="16"/>
      <c r="Q1342" s="15"/>
      <c r="R1342" s="17"/>
    </row>
    <row r="1343">
      <c r="A1343" s="38"/>
      <c r="B1343" s="8"/>
      <c r="C1343" s="9"/>
      <c r="D1343" s="8"/>
      <c r="E1343" s="8"/>
      <c r="F1343" s="8"/>
      <c r="G1343" s="9"/>
      <c r="H1343" s="8"/>
      <c r="I1343" s="8"/>
      <c r="J1343" s="11"/>
      <c r="K1343" s="39"/>
      <c r="L1343" s="40"/>
      <c r="M1343" s="28"/>
      <c r="N1343" s="10"/>
      <c r="O1343" s="15"/>
      <c r="P1343" s="16"/>
      <c r="Q1343" s="15"/>
      <c r="R1343" s="17"/>
    </row>
    <row r="1344">
      <c r="A1344" s="38"/>
      <c r="B1344" s="8"/>
      <c r="C1344" s="9"/>
      <c r="D1344" s="8"/>
      <c r="E1344" s="8"/>
      <c r="F1344" s="8"/>
      <c r="G1344" s="9"/>
      <c r="H1344" s="8"/>
      <c r="I1344" s="8"/>
      <c r="J1344" s="11"/>
      <c r="K1344" s="39"/>
      <c r="L1344" s="40"/>
      <c r="M1344" s="28"/>
      <c r="N1344" s="10"/>
      <c r="O1344" s="15"/>
      <c r="P1344" s="16"/>
      <c r="Q1344" s="15"/>
      <c r="R1344" s="17"/>
    </row>
    <row r="1345">
      <c r="A1345" s="38"/>
      <c r="B1345" s="8"/>
      <c r="C1345" s="9"/>
      <c r="D1345" s="8"/>
      <c r="E1345" s="8"/>
      <c r="F1345" s="8"/>
      <c r="G1345" s="9"/>
      <c r="H1345" s="8"/>
      <c r="I1345" s="8"/>
      <c r="J1345" s="11"/>
      <c r="K1345" s="39"/>
      <c r="L1345" s="40"/>
      <c r="M1345" s="28"/>
      <c r="N1345" s="10"/>
      <c r="O1345" s="15"/>
      <c r="P1345" s="16"/>
      <c r="Q1345" s="15"/>
      <c r="R1345" s="17"/>
    </row>
    <row r="1346">
      <c r="A1346" s="38"/>
      <c r="B1346" s="8"/>
      <c r="C1346" s="9"/>
      <c r="D1346" s="8"/>
      <c r="E1346" s="8"/>
      <c r="F1346" s="8"/>
      <c r="G1346" s="9"/>
      <c r="H1346" s="8"/>
      <c r="I1346" s="8"/>
      <c r="J1346" s="11"/>
      <c r="K1346" s="39"/>
      <c r="L1346" s="40"/>
      <c r="M1346" s="28"/>
      <c r="N1346" s="10"/>
      <c r="O1346" s="15"/>
      <c r="P1346" s="16"/>
      <c r="Q1346" s="15"/>
      <c r="R1346" s="17"/>
    </row>
    <row r="1347">
      <c r="A1347" s="38"/>
      <c r="B1347" s="8"/>
      <c r="C1347" s="9"/>
      <c r="D1347" s="8"/>
      <c r="E1347" s="8"/>
      <c r="F1347" s="8"/>
      <c r="G1347" s="9"/>
      <c r="H1347" s="8"/>
      <c r="I1347" s="8"/>
      <c r="J1347" s="11"/>
      <c r="K1347" s="39"/>
      <c r="L1347" s="40"/>
      <c r="M1347" s="28"/>
      <c r="N1347" s="10"/>
      <c r="O1347" s="15"/>
      <c r="P1347" s="16"/>
      <c r="Q1347" s="15"/>
      <c r="R1347" s="17"/>
    </row>
    <row r="1348">
      <c r="A1348" s="38"/>
      <c r="B1348" s="8"/>
      <c r="C1348" s="9"/>
      <c r="D1348" s="8"/>
      <c r="E1348" s="8"/>
      <c r="F1348" s="8"/>
      <c r="G1348" s="9"/>
      <c r="H1348" s="8"/>
      <c r="I1348" s="8"/>
      <c r="J1348" s="11"/>
      <c r="K1348" s="39"/>
      <c r="L1348" s="40"/>
      <c r="M1348" s="28"/>
      <c r="N1348" s="10"/>
      <c r="O1348" s="15"/>
      <c r="P1348" s="16"/>
      <c r="Q1348" s="15"/>
      <c r="R1348" s="17"/>
    </row>
    <row r="1349">
      <c r="A1349" s="38"/>
      <c r="B1349" s="8"/>
      <c r="C1349" s="9"/>
      <c r="D1349" s="8"/>
      <c r="E1349" s="8"/>
      <c r="F1349" s="8"/>
      <c r="G1349" s="9"/>
      <c r="H1349" s="8"/>
      <c r="I1349" s="8"/>
      <c r="J1349" s="11"/>
      <c r="K1349" s="39"/>
      <c r="L1349" s="40"/>
      <c r="M1349" s="28"/>
      <c r="N1349" s="10"/>
      <c r="O1349" s="15"/>
      <c r="P1349" s="16"/>
      <c r="Q1349" s="15"/>
      <c r="R1349" s="17"/>
    </row>
    <row r="1350">
      <c r="A1350" s="38"/>
      <c r="B1350" s="8"/>
      <c r="C1350" s="9"/>
      <c r="D1350" s="8"/>
      <c r="E1350" s="8"/>
      <c r="F1350" s="8"/>
      <c r="G1350" s="9"/>
      <c r="H1350" s="8"/>
      <c r="I1350" s="8"/>
      <c r="J1350" s="11"/>
      <c r="K1350" s="39"/>
      <c r="L1350" s="40"/>
      <c r="M1350" s="28"/>
      <c r="N1350" s="10"/>
      <c r="O1350" s="15"/>
      <c r="P1350" s="16"/>
      <c r="Q1350" s="15"/>
      <c r="R1350" s="17"/>
    </row>
    <row r="1351">
      <c r="A1351" s="38"/>
      <c r="B1351" s="8"/>
      <c r="C1351" s="9"/>
      <c r="D1351" s="8"/>
      <c r="E1351" s="8"/>
      <c r="F1351" s="8"/>
      <c r="G1351" s="9"/>
      <c r="H1351" s="8"/>
      <c r="I1351" s="8"/>
      <c r="J1351" s="11"/>
      <c r="K1351" s="39"/>
      <c r="L1351" s="40"/>
      <c r="M1351" s="28"/>
      <c r="N1351" s="10"/>
      <c r="O1351" s="15"/>
      <c r="P1351" s="16"/>
      <c r="Q1351" s="15"/>
      <c r="R1351" s="17"/>
    </row>
    <row r="1352">
      <c r="A1352" s="38"/>
      <c r="B1352" s="8"/>
      <c r="C1352" s="9"/>
      <c r="D1352" s="8"/>
      <c r="E1352" s="8"/>
      <c r="F1352" s="8"/>
      <c r="G1352" s="9"/>
      <c r="H1352" s="8"/>
      <c r="I1352" s="8"/>
      <c r="J1352" s="11"/>
      <c r="K1352" s="39"/>
      <c r="L1352" s="40"/>
      <c r="M1352" s="28"/>
      <c r="N1352" s="10"/>
      <c r="O1352" s="15"/>
      <c r="P1352" s="16"/>
      <c r="Q1352" s="15"/>
      <c r="R1352" s="17"/>
    </row>
    <row r="1353">
      <c r="A1353" s="38"/>
      <c r="B1353" s="8"/>
      <c r="C1353" s="9"/>
      <c r="D1353" s="8"/>
      <c r="E1353" s="8"/>
      <c r="F1353" s="8"/>
      <c r="G1353" s="9"/>
      <c r="H1353" s="8"/>
      <c r="I1353" s="8"/>
      <c r="J1353" s="11"/>
      <c r="K1353" s="39"/>
      <c r="L1353" s="40"/>
      <c r="M1353" s="28"/>
      <c r="N1353" s="10"/>
      <c r="O1353" s="15"/>
      <c r="P1353" s="16"/>
      <c r="Q1353" s="15"/>
      <c r="R1353" s="17"/>
    </row>
    <row r="1354">
      <c r="A1354" s="38"/>
      <c r="B1354" s="8"/>
      <c r="C1354" s="9"/>
      <c r="D1354" s="8"/>
      <c r="E1354" s="8"/>
      <c r="F1354" s="8"/>
      <c r="G1354" s="9"/>
      <c r="H1354" s="8"/>
      <c r="I1354" s="8"/>
      <c r="J1354" s="11"/>
      <c r="K1354" s="39"/>
      <c r="L1354" s="40"/>
      <c r="M1354" s="28"/>
      <c r="N1354" s="10"/>
      <c r="O1354" s="15"/>
      <c r="P1354" s="16"/>
      <c r="Q1354" s="15"/>
      <c r="R1354" s="17"/>
    </row>
    <row r="1355">
      <c r="A1355" s="38"/>
      <c r="B1355" s="8"/>
      <c r="C1355" s="9"/>
      <c r="D1355" s="8"/>
      <c r="E1355" s="8"/>
      <c r="F1355" s="8"/>
      <c r="G1355" s="9"/>
      <c r="H1355" s="8"/>
      <c r="I1355" s="8"/>
      <c r="J1355" s="11"/>
      <c r="K1355" s="39"/>
      <c r="L1355" s="40"/>
      <c r="M1355" s="28"/>
      <c r="N1355" s="10"/>
      <c r="O1355" s="15"/>
      <c r="P1355" s="16"/>
      <c r="Q1355" s="15"/>
      <c r="R1355" s="17"/>
    </row>
    <row r="1356">
      <c r="A1356" s="38"/>
      <c r="B1356" s="8"/>
      <c r="C1356" s="9"/>
      <c r="D1356" s="8"/>
      <c r="E1356" s="8"/>
      <c r="F1356" s="8"/>
      <c r="G1356" s="9"/>
      <c r="H1356" s="8"/>
      <c r="I1356" s="8"/>
      <c r="J1356" s="11"/>
      <c r="K1356" s="39"/>
      <c r="L1356" s="40"/>
      <c r="M1356" s="28"/>
      <c r="N1356" s="10"/>
      <c r="O1356" s="15"/>
      <c r="P1356" s="16"/>
      <c r="Q1356" s="15"/>
      <c r="R1356" s="17"/>
    </row>
    <row r="1357">
      <c r="A1357" s="38"/>
      <c r="B1357" s="8"/>
      <c r="C1357" s="9"/>
      <c r="D1357" s="8"/>
      <c r="E1357" s="8"/>
      <c r="F1357" s="8"/>
      <c r="G1357" s="9"/>
      <c r="H1357" s="8"/>
      <c r="I1357" s="8"/>
      <c r="J1357" s="11"/>
      <c r="K1357" s="39"/>
      <c r="L1357" s="40"/>
      <c r="M1357" s="28"/>
      <c r="N1357" s="10"/>
      <c r="O1357" s="15"/>
      <c r="P1357" s="16"/>
      <c r="Q1357" s="15"/>
      <c r="R1357" s="17"/>
    </row>
    <row r="1358">
      <c r="A1358" s="38"/>
      <c r="B1358" s="8"/>
      <c r="C1358" s="9"/>
      <c r="D1358" s="8"/>
      <c r="E1358" s="8"/>
      <c r="F1358" s="8"/>
      <c r="G1358" s="9"/>
      <c r="H1358" s="8"/>
      <c r="I1358" s="8"/>
      <c r="J1358" s="11"/>
      <c r="K1358" s="39"/>
      <c r="L1358" s="40"/>
      <c r="M1358" s="28"/>
      <c r="N1358" s="10"/>
      <c r="O1358" s="15"/>
      <c r="P1358" s="16"/>
      <c r="Q1358" s="15"/>
      <c r="R1358" s="17"/>
    </row>
    <row r="1359">
      <c r="A1359" s="38"/>
      <c r="B1359" s="8"/>
      <c r="C1359" s="9"/>
      <c r="D1359" s="8"/>
      <c r="E1359" s="8"/>
      <c r="F1359" s="8"/>
      <c r="G1359" s="9"/>
      <c r="H1359" s="8"/>
      <c r="I1359" s="8"/>
      <c r="J1359" s="11"/>
      <c r="K1359" s="39"/>
      <c r="L1359" s="40"/>
      <c r="M1359" s="28"/>
      <c r="N1359" s="10"/>
      <c r="O1359" s="15"/>
      <c r="P1359" s="16"/>
      <c r="Q1359" s="15"/>
      <c r="R1359" s="17"/>
    </row>
    <row r="1360">
      <c r="A1360" s="38"/>
      <c r="B1360" s="8"/>
      <c r="C1360" s="9"/>
      <c r="D1360" s="8"/>
      <c r="E1360" s="8"/>
      <c r="F1360" s="8"/>
      <c r="G1360" s="9"/>
      <c r="H1360" s="8"/>
      <c r="I1360" s="8"/>
      <c r="J1360" s="11"/>
      <c r="K1360" s="39"/>
      <c r="L1360" s="40"/>
      <c r="M1360" s="28"/>
      <c r="N1360" s="10"/>
      <c r="O1360" s="15"/>
      <c r="P1360" s="16"/>
      <c r="Q1360" s="15"/>
      <c r="R1360" s="17"/>
    </row>
    <row r="1361">
      <c r="A1361" s="38"/>
      <c r="B1361" s="8"/>
      <c r="C1361" s="9"/>
      <c r="D1361" s="8"/>
      <c r="E1361" s="8"/>
      <c r="F1361" s="8"/>
      <c r="G1361" s="9"/>
      <c r="H1361" s="8"/>
      <c r="I1361" s="8"/>
      <c r="J1361" s="11"/>
      <c r="K1361" s="39"/>
      <c r="L1361" s="40"/>
      <c r="M1361" s="28"/>
      <c r="N1361" s="10"/>
      <c r="O1361" s="15"/>
      <c r="P1361" s="16"/>
      <c r="Q1361" s="15"/>
      <c r="R1361" s="17"/>
    </row>
    <row r="1362">
      <c r="A1362" s="38"/>
      <c r="B1362" s="8"/>
      <c r="C1362" s="9"/>
      <c r="D1362" s="8"/>
      <c r="E1362" s="8"/>
      <c r="F1362" s="8"/>
      <c r="G1362" s="9"/>
      <c r="H1362" s="8"/>
      <c r="I1362" s="8"/>
      <c r="J1362" s="11"/>
      <c r="K1362" s="39"/>
      <c r="L1362" s="40"/>
      <c r="M1362" s="28"/>
      <c r="N1362" s="10"/>
      <c r="O1362" s="15"/>
      <c r="P1362" s="16"/>
      <c r="Q1362" s="15"/>
      <c r="R1362" s="17"/>
    </row>
    <row r="1363">
      <c r="A1363" s="38"/>
      <c r="B1363" s="8"/>
      <c r="C1363" s="9"/>
      <c r="D1363" s="8"/>
      <c r="E1363" s="8"/>
      <c r="F1363" s="8"/>
      <c r="G1363" s="9"/>
      <c r="H1363" s="8"/>
      <c r="I1363" s="8"/>
      <c r="J1363" s="11"/>
      <c r="K1363" s="39"/>
      <c r="L1363" s="40"/>
      <c r="M1363" s="28"/>
      <c r="N1363" s="10"/>
      <c r="O1363" s="15"/>
      <c r="P1363" s="16"/>
      <c r="Q1363" s="15"/>
      <c r="R1363" s="17"/>
    </row>
    <row r="1364">
      <c r="A1364" s="38"/>
      <c r="B1364" s="8"/>
      <c r="C1364" s="9"/>
      <c r="D1364" s="8"/>
      <c r="E1364" s="8"/>
      <c r="F1364" s="8"/>
      <c r="G1364" s="9"/>
      <c r="H1364" s="8"/>
      <c r="I1364" s="8"/>
      <c r="J1364" s="11"/>
      <c r="K1364" s="39"/>
      <c r="L1364" s="40"/>
      <c r="M1364" s="28"/>
      <c r="N1364" s="10"/>
      <c r="O1364" s="15"/>
      <c r="P1364" s="16"/>
      <c r="Q1364" s="15"/>
      <c r="R1364" s="17"/>
    </row>
    <row r="1365">
      <c r="A1365" s="38"/>
      <c r="B1365" s="8"/>
      <c r="C1365" s="9"/>
      <c r="D1365" s="8"/>
      <c r="E1365" s="8"/>
      <c r="F1365" s="8"/>
      <c r="G1365" s="9"/>
      <c r="H1365" s="8"/>
      <c r="I1365" s="8"/>
      <c r="J1365" s="11"/>
      <c r="K1365" s="39"/>
      <c r="L1365" s="40"/>
      <c r="M1365" s="28"/>
      <c r="N1365" s="10"/>
      <c r="O1365" s="15"/>
      <c r="P1365" s="16"/>
      <c r="Q1365" s="15"/>
      <c r="R1365" s="17"/>
    </row>
    <row r="1366">
      <c r="A1366" s="38"/>
      <c r="B1366" s="8"/>
      <c r="C1366" s="9"/>
      <c r="D1366" s="8"/>
      <c r="E1366" s="8"/>
      <c r="F1366" s="8"/>
      <c r="G1366" s="9"/>
      <c r="H1366" s="8"/>
      <c r="I1366" s="8"/>
      <c r="J1366" s="11"/>
      <c r="K1366" s="39"/>
      <c r="L1366" s="40"/>
      <c r="M1366" s="28"/>
      <c r="N1366" s="10"/>
      <c r="O1366" s="15"/>
      <c r="P1366" s="16"/>
      <c r="Q1366" s="15"/>
      <c r="R1366" s="17"/>
    </row>
    <row r="1367">
      <c r="A1367" s="38"/>
      <c r="B1367" s="8"/>
      <c r="C1367" s="9"/>
      <c r="D1367" s="8"/>
      <c r="E1367" s="8"/>
      <c r="F1367" s="8"/>
      <c r="G1367" s="9"/>
      <c r="H1367" s="8"/>
      <c r="I1367" s="8"/>
      <c r="J1367" s="11"/>
      <c r="K1367" s="39"/>
      <c r="L1367" s="40"/>
      <c r="M1367" s="28"/>
      <c r="N1367" s="10"/>
      <c r="O1367" s="15"/>
      <c r="P1367" s="16"/>
      <c r="Q1367" s="15"/>
      <c r="R1367" s="17"/>
    </row>
    <row r="1368">
      <c r="A1368" s="38"/>
      <c r="B1368" s="8"/>
      <c r="C1368" s="9"/>
      <c r="D1368" s="8"/>
      <c r="E1368" s="8"/>
      <c r="F1368" s="8"/>
      <c r="G1368" s="9"/>
      <c r="H1368" s="8"/>
      <c r="I1368" s="8"/>
      <c r="J1368" s="11"/>
      <c r="K1368" s="39"/>
      <c r="L1368" s="40"/>
      <c r="M1368" s="28"/>
      <c r="N1368" s="10"/>
      <c r="O1368" s="15"/>
      <c r="P1368" s="16"/>
      <c r="Q1368" s="15"/>
      <c r="R1368" s="17"/>
    </row>
    <row r="1369">
      <c r="A1369" s="38"/>
      <c r="B1369" s="8"/>
      <c r="C1369" s="9"/>
      <c r="D1369" s="8"/>
      <c r="E1369" s="8"/>
      <c r="F1369" s="8"/>
      <c r="G1369" s="9"/>
      <c r="H1369" s="8"/>
      <c r="I1369" s="8"/>
      <c r="J1369" s="11"/>
      <c r="K1369" s="39"/>
      <c r="L1369" s="40"/>
      <c r="M1369" s="28"/>
      <c r="N1369" s="10"/>
      <c r="O1369" s="15"/>
      <c r="P1369" s="16"/>
      <c r="Q1369" s="15"/>
      <c r="R1369" s="17"/>
    </row>
    <row r="1370">
      <c r="A1370" s="38"/>
      <c r="B1370" s="8"/>
      <c r="C1370" s="9"/>
      <c r="D1370" s="8"/>
      <c r="E1370" s="8"/>
      <c r="F1370" s="8"/>
      <c r="G1370" s="9"/>
      <c r="H1370" s="8"/>
      <c r="I1370" s="8"/>
      <c r="J1370" s="11"/>
      <c r="K1370" s="39"/>
      <c r="L1370" s="40"/>
      <c r="M1370" s="28"/>
      <c r="N1370" s="10"/>
      <c r="O1370" s="15"/>
      <c r="P1370" s="16"/>
      <c r="Q1370" s="15"/>
      <c r="R1370" s="17"/>
    </row>
    <row r="1371">
      <c r="A1371" s="38"/>
      <c r="B1371" s="8"/>
      <c r="C1371" s="9"/>
      <c r="D1371" s="8"/>
      <c r="E1371" s="8"/>
      <c r="F1371" s="8"/>
      <c r="G1371" s="9"/>
      <c r="H1371" s="8"/>
      <c r="I1371" s="8"/>
      <c r="J1371" s="11"/>
      <c r="K1371" s="39"/>
      <c r="L1371" s="40"/>
      <c r="M1371" s="28"/>
      <c r="N1371" s="10"/>
      <c r="O1371" s="15"/>
      <c r="P1371" s="16"/>
      <c r="Q1371" s="15"/>
      <c r="R1371" s="17"/>
    </row>
    <row r="1372">
      <c r="A1372" s="38"/>
      <c r="B1372" s="8"/>
      <c r="C1372" s="9"/>
      <c r="D1372" s="8"/>
      <c r="E1372" s="8"/>
      <c r="F1372" s="8"/>
      <c r="G1372" s="9"/>
      <c r="H1372" s="8"/>
      <c r="I1372" s="8"/>
      <c r="J1372" s="11"/>
      <c r="K1372" s="39"/>
      <c r="L1372" s="40"/>
      <c r="M1372" s="28"/>
      <c r="N1372" s="10"/>
      <c r="O1372" s="15"/>
      <c r="P1372" s="16"/>
      <c r="Q1372" s="15"/>
      <c r="R1372" s="17"/>
    </row>
    <row r="1373">
      <c r="A1373" s="38"/>
      <c r="B1373" s="8"/>
      <c r="C1373" s="9"/>
      <c r="D1373" s="8"/>
      <c r="E1373" s="8"/>
      <c r="F1373" s="8"/>
      <c r="G1373" s="9"/>
      <c r="H1373" s="8"/>
      <c r="I1373" s="8"/>
      <c r="J1373" s="11"/>
      <c r="K1373" s="39"/>
      <c r="L1373" s="40"/>
      <c r="M1373" s="28"/>
      <c r="N1373" s="10"/>
      <c r="O1373" s="15"/>
      <c r="P1373" s="16"/>
      <c r="Q1373" s="15"/>
      <c r="R1373" s="17"/>
    </row>
    <row r="1374">
      <c r="A1374" s="38"/>
      <c r="B1374" s="8"/>
      <c r="C1374" s="9"/>
      <c r="D1374" s="8"/>
      <c r="E1374" s="8"/>
      <c r="F1374" s="8"/>
      <c r="G1374" s="9"/>
      <c r="H1374" s="8"/>
      <c r="I1374" s="8"/>
      <c r="J1374" s="11"/>
      <c r="K1374" s="39"/>
      <c r="L1374" s="40"/>
      <c r="M1374" s="28"/>
      <c r="N1374" s="10"/>
      <c r="O1374" s="15"/>
      <c r="P1374" s="16"/>
      <c r="Q1374" s="15"/>
      <c r="R1374" s="17"/>
    </row>
    <row r="1375">
      <c r="A1375" s="38"/>
      <c r="B1375" s="8"/>
      <c r="C1375" s="9"/>
      <c r="D1375" s="8"/>
      <c r="E1375" s="8"/>
      <c r="F1375" s="8"/>
      <c r="G1375" s="9"/>
      <c r="H1375" s="8"/>
      <c r="I1375" s="8"/>
      <c r="J1375" s="11"/>
      <c r="K1375" s="39"/>
      <c r="L1375" s="40"/>
      <c r="M1375" s="28"/>
      <c r="N1375" s="10"/>
      <c r="O1375" s="15"/>
      <c r="P1375" s="16"/>
      <c r="Q1375" s="15"/>
      <c r="R1375" s="17"/>
    </row>
    <row r="1376">
      <c r="A1376" s="38"/>
      <c r="B1376" s="8"/>
      <c r="C1376" s="9"/>
      <c r="D1376" s="8"/>
      <c r="E1376" s="8"/>
      <c r="F1376" s="8"/>
      <c r="G1376" s="9"/>
      <c r="H1376" s="8"/>
      <c r="I1376" s="8"/>
      <c r="J1376" s="11"/>
      <c r="K1376" s="39"/>
      <c r="L1376" s="40"/>
      <c r="M1376" s="28"/>
      <c r="N1376" s="10"/>
      <c r="O1376" s="15"/>
      <c r="P1376" s="16"/>
      <c r="Q1376" s="15"/>
      <c r="R1376" s="17"/>
    </row>
    <row r="1377">
      <c r="A1377" s="38"/>
      <c r="B1377" s="8"/>
      <c r="C1377" s="9"/>
      <c r="D1377" s="8"/>
      <c r="E1377" s="8"/>
      <c r="F1377" s="8"/>
      <c r="G1377" s="9"/>
      <c r="H1377" s="8"/>
      <c r="I1377" s="8"/>
      <c r="J1377" s="11"/>
      <c r="K1377" s="39"/>
      <c r="L1377" s="40"/>
      <c r="M1377" s="28"/>
      <c r="N1377" s="10"/>
      <c r="O1377" s="15"/>
      <c r="P1377" s="16"/>
      <c r="Q1377" s="15"/>
      <c r="R1377" s="17"/>
    </row>
    <row r="1378">
      <c r="A1378" s="38"/>
      <c r="B1378" s="8"/>
      <c r="C1378" s="9"/>
      <c r="D1378" s="8"/>
      <c r="E1378" s="8"/>
      <c r="F1378" s="8"/>
      <c r="G1378" s="9"/>
      <c r="H1378" s="8"/>
      <c r="I1378" s="8"/>
      <c r="J1378" s="11"/>
      <c r="K1378" s="39"/>
      <c r="L1378" s="40"/>
      <c r="M1378" s="28"/>
      <c r="N1378" s="10"/>
      <c r="O1378" s="15"/>
      <c r="P1378" s="16"/>
      <c r="Q1378" s="15"/>
      <c r="R1378" s="17"/>
    </row>
    <row r="1379">
      <c r="A1379" s="38"/>
      <c r="B1379" s="8"/>
      <c r="C1379" s="9"/>
      <c r="D1379" s="8"/>
      <c r="E1379" s="8"/>
      <c r="F1379" s="8"/>
      <c r="G1379" s="9"/>
      <c r="H1379" s="8"/>
      <c r="I1379" s="8"/>
      <c r="J1379" s="11"/>
      <c r="K1379" s="39"/>
      <c r="L1379" s="40"/>
      <c r="M1379" s="28"/>
      <c r="N1379" s="10"/>
      <c r="O1379" s="15"/>
      <c r="P1379" s="16"/>
      <c r="Q1379" s="15"/>
      <c r="R1379" s="17"/>
    </row>
    <row r="1380">
      <c r="A1380" s="38"/>
      <c r="B1380" s="8"/>
      <c r="C1380" s="9"/>
      <c r="D1380" s="8"/>
      <c r="E1380" s="8"/>
      <c r="F1380" s="8"/>
      <c r="G1380" s="9"/>
      <c r="H1380" s="8"/>
      <c r="I1380" s="8"/>
      <c r="J1380" s="11"/>
      <c r="K1380" s="39"/>
      <c r="L1380" s="40"/>
      <c r="M1380" s="28"/>
      <c r="N1380" s="10"/>
      <c r="O1380" s="15"/>
      <c r="P1380" s="16"/>
      <c r="Q1380" s="15"/>
      <c r="R1380" s="17"/>
    </row>
    <row r="1381">
      <c r="A1381" s="38"/>
      <c r="B1381" s="8"/>
      <c r="C1381" s="9"/>
      <c r="D1381" s="8"/>
      <c r="E1381" s="8"/>
      <c r="F1381" s="8"/>
      <c r="G1381" s="9"/>
      <c r="H1381" s="8"/>
      <c r="I1381" s="8"/>
      <c r="J1381" s="11"/>
      <c r="K1381" s="39"/>
      <c r="L1381" s="40"/>
      <c r="M1381" s="28"/>
      <c r="N1381" s="10"/>
      <c r="O1381" s="15"/>
      <c r="P1381" s="16"/>
      <c r="Q1381" s="15"/>
      <c r="R1381" s="17"/>
    </row>
    <row r="1382">
      <c r="A1382" s="38"/>
      <c r="B1382" s="8"/>
      <c r="C1382" s="9"/>
      <c r="D1382" s="8"/>
      <c r="E1382" s="8"/>
      <c r="F1382" s="8"/>
      <c r="G1382" s="9"/>
      <c r="H1382" s="8"/>
      <c r="I1382" s="8"/>
      <c r="J1382" s="11"/>
      <c r="K1382" s="39"/>
      <c r="L1382" s="40"/>
      <c r="M1382" s="28"/>
      <c r="N1382" s="10"/>
      <c r="O1382" s="15"/>
      <c r="P1382" s="16"/>
      <c r="Q1382" s="15"/>
      <c r="R1382" s="17"/>
    </row>
    <row r="1383">
      <c r="A1383" s="38"/>
      <c r="B1383" s="8"/>
      <c r="C1383" s="9"/>
      <c r="D1383" s="8"/>
      <c r="E1383" s="8"/>
      <c r="F1383" s="8"/>
      <c r="G1383" s="9"/>
      <c r="H1383" s="8"/>
      <c r="I1383" s="8"/>
      <c r="J1383" s="11"/>
      <c r="K1383" s="39"/>
      <c r="L1383" s="40"/>
      <c r="M1383" s="28"/>
      <c r="N1383" s="10"/>
      <c r="O1383" s="15"/>
      <c r="P1383" s="16"/>
      <c r="Q1383" s="15"/>
      <c r="R1383" s="17"/>
    </row>
    <row r="1384">
      <c r="A1384" s="38"/>
      <c r="B1384" s="8"/>
      <c r="C1384" s="9"/>
      <c r="D1384" s="8"/>
      <c r="E1384" s="8"/>
      <c r="F1384" s="8"/>
      <c r="G1384" s="9"/>
      <c r="H1384" s="8"/>
      <c r="I1384" s="8"/>
      <c r="J1384" s="11"/>
      <c r="K1384" s="39"/>
      <c r="L1384" s="40"/>
      <c r="M1384" s="28"/>
      <c r="N1384" s="10"/>
      <c r="O1384" s="15"/>
      <c r="P1384" s="16"/>
      <c r="Q1384" s="15"/>
      <c r="R1384" s="17"/>
    </row>
    <row r="1385">
      <c r="A1385" s="38"/>
      <c r="B1385" s="8"/>
      <c r="C1385" s="9"/>
      <c r="D1385" s="8"/>
      <c r="E1385" s="8"/>
      <c r="F1385" s="8"/>
      <c r="G1385" s="9"/>
      <c r="H1385" s="8"/>
      <c r="I1385" s="8"/>
      <c r="J1385" s="11"/>
      <c r="K1385" s="39"/>
      <c r="L1385" s="40"/>
      <c r="M1385" s="28"/>
      <c r="N1385" s="10"/>
      <c r="O1385" s="15"/>
      <c r="P1385" s="16"/>
      <c r="Q1385" s="15"/>
      <c r="R1385" s="17"/>
    </row>
    <row r="1386">
      <c r="A1386" s="38"/>
      <c r="B1386" s="8"/>
      <c r="C1386" s="9"/>
      <c r="D1386" s="8"/>
      <c r="E1386" s="8"/>
      <c r="F1386" s="8"/>
      <c r="G1386" s="9"/>
      <c r="H1386" s="8"/>
      <c r="I1386" s="8"/>
      <c r="J1386" s="11"/>
      <c r="K1386" s="39"/>
      <c r="L1386" s="40"/>
      <c r="M1386" s="28"/>
      <c r="N1386" s="10"/>
      <c r="O1386" s="15"/>
      <c r="P1386" s="16"/>
      <c r="Q1386" s="15"/>
      <c r="R1386" s="17"/>
    </row>
    <row r="1387">
      <c r="A1387" s="38"/>
      <c r="B1387" s="8"/>
      <c r="C1387" s="9"/>
      <c r="D1387" s="8"/>
      <c r="E1387" s="8"/>
      <c r="F1387" s="8"/>
      <c r="G1387" s="9"/>
      <c r="H1387" s="8"/>
      <c r="I1387" s="8"/>
      <c r="J1387" s="11"/>
      <c r="K1387" s="39"/>
      <c r="L1387" s="40"/>
      <c r="M1387" s="28"/>
      <c r="N1387" s="10"/>
      <c r="O1387" s="15"/>
      <c r="P1387" s="16"/>
      <c r="Q1387" s="15"/>
      <c r="R1387" s="17"/>
    </row>
    <row r="1388">
      <c r="A1388" s="38"/>
      <c r="B1388" s="8"/>
      <c r="C1388" s="9"/>
      <c r="D1388" s="8"/>
      <c r="E1388" s="8"/>
      <c r="F1388" s="8"/>
      <c r="G1388" s="9"/>
      <c r="H1388" s="8"/>
      <c r="I1388" s="8"/>
      <c r="J1388" s="11"/>
      <c r="K1388" s="39"/>
      <c r="L1388" s="40"/>
      <c r="M1388" s="28"/>
      <c r="N1388" s="10"/>
      <c r="O1388" s="15"/>
      <c r="P1388" s="16"/>
      <c r="Q1388" s="15"/>
      <c r="R1388" s="17"/>
    </row>
    <row r="1389">
      <c r="A1389" s="38"/>
      <c r="B1389" s="8"/>
      <c r="C1389" s="9"/>
      <c r="D1389" s="8"/>
      <c r="E1389" s="8"/>
      <c r="F1389" s="8"/>
      <c r="G1389" s="9"/>
      <c r="H1389" s="8"/>
      <c r="I1389" s="8"/>
      <c r="J1389" s="11"/>
      <c r="K1389" s="39"/>
      <c r="L1389" s="40"/>
      <c r="M1389" s="28"/>
      <c r="N1389" s="10"/>
      <c r="O1389" s="15"/>
      <c r="P1389" s="16"/>
      <c r="Q1389" s="15"/>
      <c r="R1389" s="17"/>
    </row>
    <row r="1390">
      <c r="A1390" s="38"/>
      <c r="B1390" s="8"/>
      <c r="C1390" s="9"/>
      <c r="D1390" s="8"/>
      <c r="E1390" s="8"/>
      <c r="F1390" s="8"/>
      <c r="G1390" s="9"/>
      <c r="H1390" s="8"/>
      <c r="I1390" s="8"/>
      <c r="J1390" s="11"/>
      <c r="K1390" s="39"/>
      <c r="L1390" s="40"/>
      <c r="M1390" s="28"/>
      <c r="N1390" s="10"/>
      <c r="O1390" s="15"/>
      <c r="P1390" s="16"/>
      <c r="Q1390" s="15"/>
      <c r="R1390" s="17"/>
    </row>
    <row r="1391">
      <c r="A1391" s="38"/>
      <c r="B1391" s="8"/>
      <c r="C1391" s="9"/>
      <c r="D1391" s="8"/>
      <c r="E1391" s="8"/>
      <c r="F1391" s="8"/>
      <c r="G1391" s="9"/>
      <c r="H1391" s="8"/>
      <c r="I1391" s="8"/>
      <c r="J1391" s="11"/>
      <c r="K1391" s="39"/>
      <c r="L1391" s="40"/>
      <c r="M1391" s="28"/>
      <c r="N1391" s="10"/>
      <c r="O1391" s="15"/>
      <c r="P1391" s="16"/>
      <c r="Q1391" s="15"/>
      <c r="R1391" s="17"/>
    </row>
    <row r="1392">
      <c r="A1392" s="38"/>
      <c r="B1392" s="8"/>
      <c r="C1392" s="9"/>
      <c r="D1392" s="8"/>
      <c r="E1392" s="8"/>
      <c r="F1392" s="8"/>
      <c r="G1392" s="9"/>
      <c r="H1392" s="8"/>
      <c r="I1392" s="8"/>
      <c r="J1392" s="11"/>
      <c r="K1392" s="39"/>
      <c r="L1392" s="40"/>
      <c r="M1392" s="28"/>
      <c r="N1392" s="10"/>
      <c r="O1392" s="15"/>
      <c r="P1392" s="16"/>
      <c r="Q1392" s="15"/>
      <c r="R1392" s="17"/>
    </row>
    <row r="1393">
      <c r="A1393" s="38"/>
      <c r="B1393" s="8"/>
      <c r="C1393" s="9"/>
      <c r="D1393" s="8"/>
      <c r="E1393" s="8"/>
      <c r="F1393" s="8"/>
      <c r="G1393" s="9"/>
      <c r="H1393" s="8"/>
      <c r="I1393" s="8"/>
      <c r="J1393" s="11"/>
      <c r="K1393" s="39"/>
      <c r="L1393" s="40"/>
      <c r="M1393" s="28"/>
      <c r="N1393" s="10"/>
      <c r="O1393" s="15"/>
      <c r="P1393" s="16"/>
      <c r="Q1393" s="15"/>
      <c r="R1393" s="17"/>
    </row>
    <row r="1394">
      <c r="A1394" s="38"/>
      <c r="B1394" s="8"/>
      <c r="C1394" s="9"/>
      <c r="D1394" s="8"/>
      <c r="E1394" s="8"/>
      <c r="F1394" s="8"/>
      <c r="G1394" s="9"/>
      <c r="H1394" s="8"/>
      <c r="I1394" s="8"/>
      <c r="J1394" s="11"/>
      <c r="K1394" s="39"/>
      <c r="L1394" s="40"/>
      <c r="M1394" s="28"/>
      <c r="N1394" s="10"/>
      <c r="O1394" s="15"/>
      <c r="P1394" s="16"/>
      <c r="Q1394" s="15"/>
      <c r="R1394" s="17"/>
    </row>
    <row r="1395">
      <c r="A1395" s="38"/>
      <c r="B1395" s="8"/>
      <c r="C1395" s="9"/>
      <c r="D1395" s="8"/>
      <c r="E1395" s="8"/>
      <c r="F1395" s="8"/>
      <c r="G1395" s="9"/>
      <c r="H1395" s="8"/>
      <c r="I1395" s="8"/>
      <c r="J1395" s="11"/>
      <c r="K1395" s="39"/>
      <c r="L1395" s="40"/>
      <c r="M1395" s="28"/>
      <c r="N1395" s="10"/>
      <c r="O1395" s="15"/>
      <c r="P1395" s="16"/>
      <c r="Q1395" s="15"/>
      <c r="R1395" s="17"/>
    </row>
    <row r="1396">
      <c r="A1396" s="38"/>
      <c r="B1396" s="8"/>
      <c r="C1396" s="9"/>
      <c r="D1396" s="8"/>
      <c r="E1396" s="8"/>
      <c r="F1396" s="8"/>
      <c r="G1396" s="9"/>
      <c r="H1396" s="8"/>
      <c r="I1396" s="8"/>
      <c r="J1396" s="11"/>
      <c r="K1396" s="39"/>
      <c r="L1396" s="40"/>
      <c r="M1396" s="28"/>
      <c r="N1396" s="10"/>
      <c r="O1396" s="15"/>
      <c r="P1396" s="16"/>
      <c r="Q1396" s="15"/>
      <c r="R1396" s="17"/>
    </row>
    <row r="1397">
      <c r="A1397" s="38"/>
      <c r="B1397" s="8"/>
      <c r="C1397" s="9"/>
      <c r="D1397" s="8"/>
      <c r="E1397" s="8"/>
      <c r="F1397" s="8"/>
      <c r="G1397" s="9"/>
      <c r="H1397" s="8"/>
      <c r="I1397" s="8"/>
      <c r="J1397" s="11"/>
      <c r="K1397" s="39"/>
      <c r="L1397" s="40"/>
      <c r="M1397" s="28"/>
      <c r="N1397" s="10"/>
      <c r="O1397" s="15"/>
      <c r="P1397" s="16"/>
      <c r="Q1397" s="15"/>
      <c r="R1397" s="17"/>
    </row>
    <row r="1398">
      <c r="A1398" s="38"/>
      <c r="B1398" s="8"/>
      <c r="C1398" s="9"/>
      <c r="D1398" s="8"/>
      <c r="E1398" s="8"/>
      <c r="F1398" s="8"/>
      <c r="G1398" s="9"/>
      <c r="H1398" s="8"/>
      <c r="I1398" s="8"/>
      <c r="J1398" s="11"/>
      <c r="K1398" s="39"/>
      <c r="L1398" s="40"/>
      <c r="M1398" s="28"/>
      <c r="N1398" s="10"/>
      <c r="O1398" s="15"/>
      <c r="P1398" s="16"/>
      <c r="Q1398" s="15"/>
      <c r="R1398" s="17"/>
    </row>
    <row r="1399">
      <c r="A1399" s="38"/>
      <c r="B1399" s="8"/>
      <c r="C1399" s="9"/>
      <c r="D1399" s="8"/>
      <c r="E1399" s="8"/>
      <c r="F1399" s="8"/>
      <c r="G1399" s="9"/>
      <c r="H1399" s="8"/>
      <c r="I1399" s="8"/>
      <c r="J1399" s="11"/>
      <c r="K1399" s="39"/>
      <c r="L1399" s="40"/>
      <c r="M1399" s="28"/>
      <c r="N1399" s="10"/>
      <c r="O1399" s="15"/>
      <c r="P1399" s="16"/>
      <c r="Q1399" s="15"/>
      <c r="R1399" s="17"/>
    </row>
    <row r="1400">
      <c r="A1400" s="38"/>
      <c r="B1400" s="8"/>
      <c r="C1400" s="9"/>
      <c r="D1400" s="8"/>
      <c r="E1400" s="8"/>
      <c r="F1400" s="8"/>
      <c r="G1400" s="9"/>
      <c r="H1400" s="8"/>
      <c r="I1400" s="8"/>
      <c r="J1400" s="11"/>
      <c r="K1400" s="39"/>
      <c r="L1400" s="40"/>
      <c r="M1400" s="28"/>
      <c r="N1400" s="10"/>
      <c r="O1400" s="15"/>
      <c r="P1400" s="16"/>
      <c r="Q1400" s="15"/>
      <c r="R1400" s="17"/>
    </row>
    <row r="1401">
      <c r="A1401" s="38"/>
      <c r="B1401" s="8"/>
      <c r="C1401" s="9"/>
      <c r="D1401" s="8"/>
      <c r="E1401" s="8"/>
      <c r="F1401" s="8"/>
      <c r="G1401" s="9"/>
      <c r="H1401" s="8"/>
      <c r="I1401" s="8"/>
      <c r="J1401" s="11"/>
      <c r="K1401" s="39"/>
      <c r="L1401" s="40"/>
      <c r="M1401" s="28"/>
      <c r="N1401" s="10"/>
      <c r="O1401" s="15"/>
      <c r="P1401" s="16"/>
      <c r="Q1401" s="15"/>
      <c r="R1401" s="17"/>
    </row>
    <row r="1402">
      <c r="A1402" s="38"/>
      <c r="B1402" s="8"/>
      <c r="C1402" s="9"/>
      <c r="D1402" s="8"/>
      <c r="E1402" s="8"/>
      <c r="F1402" s="8"/>
      <c r="G1402" s="9"/>
      <c r="H1402" s="8"/>
      <c r="I1402" s="8"/>
      <c r="J1402" s="11"/>
      <c r="K1402" s="39"/>
      <c r="L1402" s="40"/>
      <c r="M1402" s="28"/>
      <c r="N1402" s="10"/>
      <c r="O1402" s="15"/>
      <c r="P1402" s="16"/>
      <c r="Q1402" s="15"/>
      <c r="R1402" s="17"/>
    </row>
    <row r="1403">
      <c r="A1403" s="38"/>
      <c r="B1403" s="8"/>
      <c r="C1403" s="9"/>
      <c r="D1403" s="8"/>
      <c r="E1403" s="8"/>
      <c r="F1403" s="8"/>
      <c r="G1403" s="9"/>
      <c r="H1403" s="8"/>
      <c r="I1403" s="8"/>
      <c r="J1403" s="11"/>
      <c r="K1403" s="39"/>
      <c r="L1403" s="40"/>
      <c r="M1403" s="28"/>
      <c r="N1403" s="10"/>
      <c r="O1403" s="15"/>
      <c r="P1403" s="16"/>
      <c r="Q1403" s="15"/>
      <c r="R1403" s="17"/>
    </row>
    <row r="1404">
      <c r="A1404" s="38"/>
      <c r="B1404" s="8"/>
      <c r="C1404" s="9"/>
      <c r="D1404" s="8"/>
      <c r="E1404" s="8"/>
      <c r="F1404" s="8"/>
      <c r="G1404" s="9"/>
      <c r="H1404" s="8"/>
      <c r="I1404" s="8"/>
      <c r="J1404" s="11"/>
      <c r="K1404" s="39"/>
      <c r="L1404" s="40"/>
      <c r="M1404" s="28"/>
      <c r="N1404" s="10"/>
      <c r="O1404" s="15"/>
      <c r="P1404" s="16"/>
      <c r="Q1404" s="15"/>
      <c r="R1404" s="17"/>
    </row>
    <row r="1405">
      <c r="A1405" s="38"/>
      <c r="B1405" s="8"/>
      <c r="C1405" s="9"/>
      <c r="D1405" s="8"/>
      <c r="E1405" s="8"/>
      <c r="F1405" s="8"/>
      <c r="G1405" s="9"/>
      <c r="H1405" s="8"/>
      <c r="I1405" s="8"/>
      <c r="J1405" s="11"/>
      <c r="K1405" s="39"/>
      <c r="L1405" s="40"/>
      <c r="M1405" s="28"/>
      <c r="N1405" s="10"/>
      <c r="O1405" s="15"/>
      <c r="P1405" s="16"/>
      <c r="Q1405" s="15"/>
      <c r="R1405" s="17"/>
    </row>
    <row r="1406">
      <c r="A1406" s="38"/>
      <c r="B1406" s="8"/>
      <c r="C1406" s="9"/>
      <c r="D1406" s="8"/>
      <c r="E1406" s="8"/>
      <c r="F1406" s="8"/>
      <c r="G1406" s="9"/>
      <c r="H1406" s="8"/>
      <c r="I1406" s="8"/>
      <c r="J1406" s="11"/>
      <c r="K1406" s="39"/>
      <c r="L1406" s="40"/>
      <c r="M1406" s="28"/>
      <c r="N1406" s="10"/>
      <c r="O1406" s="15"/>
      <c r="P1406" s="16"/>
      <c r="Q1406" s="15"/>
      <c r="R1406" s="17"/>
    </row>
    <row r="1407">
      <c r="A1407" s="38"/>
      <c r="B1407" s="8"/>
      <c r="C1407" s="9"/>
      <c r="D1407" s="8"/>
      <c r="E1407" s="8"/>
      <c r="F1407" s="8"/>
      <c r="G1407" s="9"/>
      <c r="H1407" s="8"/>
      <c r="I1407" s="8"/>
      <c r="J1407" s="11"/>
      <c r="K1407" s="39"/>
      <c r="L1407" s="40"/>
      <c r="M1407" s="28"/>
      <c r="N1407" s="10"/>
      <c r="O1407" s="15"/>
      <c r="P1407" s="16"/>
      <c r="Q1407" s="15"/>
      <c r="R1407" s="17"/>
    </row>
    <row r="1408">
      <c r="A1408" s="38"/>
      <c r="B1408" s="8"/>
      <c r="C1408" s="9"/>
      <c r="D1408" s="8"/>
      <c r="E1408" s="8"/>
      <c r="F1408" s="8"/>
      <c r="G1408" s="9"/>
      <c r="H1408" s="8"/>
      <c r="I1408" s="8"/>
      <c r="J1408" s="11"/>
      <c r="K1408" s="39"/>
      <c r="L1408" s="40"/>
      <c r="M1408" s="28"/>
      <c r="N1408" s="10"/>
      <c r="O1408" s="15"/>
      <c r="P1408" s="16"/>
      <c r="Q1408" s="15"/>
      <c r="R1408" s="17"/>
    </row>
    <row r="1409">
      <c r="A1409" s="38"/>
      <c r="B1409" s="8"/>
      <c r="C1409" s="9"/>
      <c r="D1409" s="8"/>
      <c r="E1409" s="8"/>
      <c r="F1409" s="8"/>
      <c r="G1409" s="9"/>
      <c r="H1409" s="8"/>
      <c r="I1409" s="8"/>
      <c r="J1409" s="11"/>
      <c r="K1409" s="39"/>
      <c r="L1409" s="40"/>
      <c r="M1409" s="28"/>
      <c r="N1409" s="10"/>
      <c r="O1409" s="15"/>
      <c r="P1409" s="16"/>
      <c r="Q1409" s="15"/>
      <c r="R1409" s="17"/>
    </row>
    <row r="1410">
      <c r="A1410" s="38"/>
      <c r="B1410" s="8"/>
      <c r="C1410" s="9"/>
      <c r="D1410" s="8"/>
      <c r="E1410" s="8"/>
      <c r="F1410" s="8"/>
      <c r="G1410" s="9"/>
      <c r="H1410" s="8"/>
      <c r="I1410" s="8"/>
      <c r="J1410" s="11"/>
      <c r="K1410" s="39"/>
      <c r="L1410" s="40"/>
      <c r="M1410" s="28"/>
      <c r="N1410" s="10"/>
      <c r="O1410" s="15"/>
      <c r="P1410" s="16"/>
      <c r="Q1410" s="15"/>
      <c r="R1410" s="17"/>
    </row>
    <row r="1411">
      <c r="A1411" s="38"/>
      <c r="B1411" s="8"/>
      <c r="C1411" s="9"/>
      <c r="D1411" s="8"/>
      <c r="E1411" s="8"/>
      <c r="F1411" s="8"/>
      <c r="G1411" s="9"/>
      <c r="H1411" s="8"/>
      <c r="I1411" s="8"/>
      <c r="J1411" s="11"/>
      <c r="K1411" s="39"/>
      <c r="L1411" s="40"/>
      <c r="M1411" s="28"/>
      <c r="N1411" s="10"/>
      <c r="O1411" s="15"/>
      <c r="P1411" s="16"/>
      <c r="Q1411" s="15"/>
      <c r="R1411" s="17"/>
    </row>
    <row r="1412">
      <c r="A1412" s="38"/>
      <c r="B1412" s="8"/>
      <c r="C1412" s="9"/>
      <c r="D1412" s="8"/>
      <c r="E1412" s="8"/>
      <c r="F1412" s="8"/>
      <c r="G1412" s="9"/>
      <c r="H1412" s="8"/>
      <c r="I1412" s="8"/>
      <c r="J1412" s="11"/>
      <c r="K1412" s="39"/>
      <c r="L1412" s="40"/>
      <c r="M1412" s="28"/>
      <c r="N1412" s="10"/>
      <c r="O1412" s="15"/>
      <c r="P1412" s="16"/>
      <c r="Q1412" s="15"/>
      <c r="R1412" s="17"/>
    </row>
    <row r="1413">
      <c r="A1413" s="38"/>
      <c r="B1413" s="8"/>
      <c r="C1413" s="9"/>
      <c r="D1413" s="8"/>
      <c r="E1413" s="8"/>
      <c r="F1413" s="8"/>
      <c r="G1413" s="9"/>
      <c r="H1413" s="8"/>
      <c r="I1413" s="8"/>
      <c r="J1413" s="11"/>
      <c r="K1413" s="39"/>
      <c r="L1413" s="40"/>
      <c r="M1413" s="28"/>
      <c r="N1413" s="10"/>
      <c r="O1413" s="15"/>
      <c r="P1413" s="16"/>
      <c r="Q1413" s="15"/>
      <c r="R1413" s="17"/>
    </row>
    <row r="1414">
      <c r="A1414" s="38"/>
      <c r="B1414" s="8"/>
      <c r="C1414" s="9"/>
      <c r="D1414" s="8"/>
      <c r="E1414" s="8"/>
      <c r="F1414" s="8"/>
      <c r="G1414" s="9"/>
      <c r="H1414" s="8"/>
      <c r="I1414" s="8"/>
      <c r="J1414" s="11"/>
      <c r="K1414" s="39"/>
      <c r="L1414" s="40"/>
      <c r="M1414" s="28"/>
      <c r="N1414" s="10"/>
      <c r="O1414" s="15"/>
      <c r="P1414" s="16"/>
      <c r="Q1414" s="15"/>
      <c r="R1414" s="17"/>
    </row>
    <row r="1415">
      <c r="A1415" s="38"/>
      <c r="B1415" s="8"/>
      <c r="C1415" s="9"/>
      <c r="D1415" s="8"/>
      <c r="E1415" s="8"/>
      <c r="F1415" s="8"/>
      <c r="G1415" s="9"/>
      <c r="H1415" s="8"/>
      <c r="I1415" s="8"/>
      <c r="J1415" s="11"/>
      <c r="K1415" s="39"/>
      <c r="L1415" s="40"/>
      <c r="M1415" s="28"/>
      <c r="N1415" s="10"/>
      <c r="O1415" s="15"/>
      <c r="P1415" s="16"/>
      <c r="Q1415" s="15"/>
      <c r="R1415" s="17"/>
    </row>
    <row r="1416">
      <c r="A1416" s="38"/>
      <c r="B1416" s="8"/>
      <c r="C1416" s="9"/>
      <c r="D1416" s="8"/>
      <c r="E1416" s="8"/>
      <c r="F1416" s="8"/>
      <c r="G1416" s="9"/>
      <c r="H1416" s="8"/>
      <c r="I1416" s="8"/>
      <c r="J1416" s="11"/>
      <c r="K1416" s="39"/>
      <c r="L1416" s="40"/>
      <c r="M1416" s="28"/>
      <c r="N1416" s="10"/>
      <c r="O1416" s="15"/>
      <c r="P1416" s="16"/>
      <c r="Q1416" s="15"/>
      <c r="R1416" s="17"/>
    </row>
    <row r="1417">
      <c r="A1417" s="38"/>
      <c r="B1417" s="8"/>
      <c r="C1417" s="9"/>
      <c r="D1417" s="8"/>
      <c r="E1417" s="8"/>
      <c r="F1417" s="8"/>
      <c r="G1417" s="9"/>
      <c r="H1417" s="8"/>
      <c r="I1417" s="8"/>
      <c r="J1417" s="11"/>
      <c r="K1417" s="39"/>
      <c r="L1417" s="40"/>
      <c r="M1417" s="28"/>
      <c r="N1417" s="10"/>
      <c r="O1417" s="15"/>
      <c r="P1417" s="16"/>
      <c r="Q1417" s="15"/>
      <c r="R1417" s="17"/>
    </row>
    <row r="1418">
      <c r="A1418" s="38"/>
      <c r="B1418" s="8"/>
      <c r="C1418" s="9"/>
      <c r="D1418" s="8"/>
      <c r="E1418" s="8"/>
      <c r="F1418" s="8"/>
      <c r="G1418" s="9"/>
      <c r="H1418" s="8"/>
      <c r="I1418" s="8"/>
      <c r="J1418" s="11"/>
      <c r="K1418" s="39"/>
      <c r="L1418" s="40"/>
      <c r="M1418" s="28"/>
      <c r="N1418" s="10"/>
      <c r="O1418" s="15"/>
      <c r="P1418" s="16"/>
      <c r="Q1418" s="15"/>
      <c r="R1418" s="17"/>
    </row>
    <row r="1419">
      <c r="A1419" s="38"/>
      <c r="B1419" s="8"/>
      <c r="C1419" s="9"/>
      <c r="D1419" s="8"/>
      <c r="E1419" s="8"/>
      <c r="F1419" s="8"/>
      <c r="G1419" s="9"/>
      <c r="H1419" s="8"/>
      <c r="I1419" s="8"/>
      <c r="J1419" s="11"/>
      <c r="K1419" s="39"/>
      <c r="L1419" s="40"/>
      <c r="M1419" s="28"/>
      <c r="N1419" s="10"/>
      <c r="O1419" s="15"/>
      <c r="P1419" s="16"/>
      <c r="Q1419" s="15"/>
      <c r="R1419" s="17"/>
    </row>
    <row r="1420">
      <c r="A1420" s="38"/>
      <c r="B1420" s="8"/>
      <c r="C1420" s="9"/>
      <c r="D1420" s="8"/>
      <c r="E1420" s="8"/>
      <c r="F1420" s="8"/>
      <c r="G1420" s="9"/>
      <c r="H1420" s="8"/>
      <c r="I1420" s="8"/>
      <c r="J1420" s="11"/>
      <c r="K1420" s="39"/>
      <c r="L1420" s="40"/>
      <c r="M1420" s="28"/>
      <c r="N1420" s="10"/>
      <c r="O1420" s="15"/>
      <c r="P1420" s="16"/>
      <c r="Q1420" s="15"/>
      <c r="R1420" s="17"/>
    </row>
    <row r="1421">
      <c r="A1421" s="38"/>
      <c r="B1421" s="8"/>
      <c r="C1421" s="9"/>
      <c r="D1421" s="8"/>
      <c r="E1421" s="8"/>
      <c r="F1421" s="8"/>
      <c r="G1421" s="9"/>
      <c r="H1421" s="8"/>
      <c r="I1421" s="8"/>
      <c r="J1421" s="11"/>
      <c r="K1421" s="39"/>
      <c r="L1421" s="40"/>
      <c r="M1421" s="28"/>
      <c r="N1421" s="10"/>
      <c r="O1421" s="15"/>
      <c r="P1421" s="16"/>
      <c r="Q1421" s="15"/>
      <c r="R1421" s="17"/>
    </row>
    <row r="1422">
      <c r="A1422" s="38"/>
      <c r="B1422" s="8"/>
      <c r="C1422" s="9"/>
      <c r="D1422" s="8"/>
      <c r="E1422" s="8"/>
      <c r="F1422" s="8"/>
      <c r="G1422" s="9"/>
      <c r="H1422" s="8"/>
      <c r="I1422" s="8"/>
      <c r="J1422" s="11"/>
      <c r="K1422" s="39"/>
      <c r="L1422" s="40"/>
      <c r="M1422" s="28"/>
      <c r="N1422" s="10"/>
      <c r="O1422" s="15"/>
      <c r="P1422" s="16"/>
      <c r="Q1422" s="15"/>
      <c r="R1422" s="17"/>
    </row>
    <row r="1423">
      <c r="A1423" s="38"/>
      <c r="B1423" s="8"/>
      <c r="C1423" s="9"/>
      <c r="D1423" s="8"/>
      <c r="E1423" s="8"/>
      <c r="F1423" s="8"/>
      <c r="G1423" s="9"/>
      <c r="H1423" s="8"/>
      <c r="I1423" s="8"/>
      <c r="J1423" s="11"/>
      <c r="K1423" s="39"/>
      <c r="L1423" s="40"/>
      <c r="M1423" s="28"/>
      <c r="N1423" s="10"/>
      <c r="O1423" s="15"/>
      <c r="P1423" s="16"/>
      <c r="Q1423" s="15"/>
      <c r="R1423" s="17"/>
    </row>
    <row r="1424">
      <c r="A1424" s="38"/>
      <c r="B1424" s="8"/>
      <c r="C1424" s="9"/>
      <c r="D1424" s="8"/>
      <c r="E1424" s="8"/>
      <c r="F1424" s="8"/>
      <c r="G1424" s="9"/>
      <c r="H1424" s="8"/>
      <c r="I1424" s="8"/>
      <c r="J1424" s="11"/>
      <c r="K1424" s="39"/>
      <c r="L1424" s="40"/>
      <c r="M1424" s="28"/>
      <c r="N1424" s="10"/>
      <c r="O1424" s="15"/>
      <c r="P1424" s="16"/>
      <c r="Q1424" s="15"/>
      <c r="R1424" s="17"/>
    </row>
    <row r="1425">
      <c r="A1425" s="38"/>
      <c r="B1425" s="8"/>
      <c r="C1425" s="9"/>
      <c r="D1425" s="8"/>
      <c r="E1425" s="8"/>
      <c r="F1425" s="8"/>
      <c r="G1425" s="9"/>
      <c r="H1425" s="8"/>
      <c r="I1425" s="8"/>
      <c r="J1425" s="11"/>
      <c r="K1425" s="39"/>
      <c r="L1425" s="40"/>
      <c r="M1425" s="28"/>
      <c r="N1425" s="10"/>
      <c r="O1425" s="15"/>
      <c r="P1425" s="16"/>
      <c r="Q1425" s="15"/>
      <c r="R1425" s="17"/>
    </row>
    <row r="1426">
      <c r="A1426" s="38"/>
      <c r="B1426" s="8"/>
      <c r="C1426" s="9"/>
      <c r="D1426" s="8"/>
      <c r="E1426" s="8"/>
      <c r="F1426" s="8"/>
      <c r="G1426" s="9"/>
      <c r="H1426" s="8"/>
      <c r="I1426" s="8"/>
      <c r="J1426" s="11"/>
      <c r="K1426" s="39"/>
      <c r="L1426" s="40"/>
      <c r="M1426" s="28"/>
      <c r="N1426" s="10"/>
      <c r="O1426" s="15"/>
      <c r="P1426" s="16"/>
      <c r="Q1426" s="15"/>
      <c r="R1426" s="17"/>
    </row>
    <row r="1427">
      <c r="A1427" s="38"/>
      <c r="B1427" s="8"/>
      <c r="C1427" s="9"/>
      <c r="D1427" s="8"/>
      <c r="E1427" s="8"/>
      <c r="F1427" s="8"/>
      <c r="G1427" s="9"/>
      <c r="H1427" s="8"/>
      <c r="I1427" s="8"/>
      <c r="J1427" s="11"/>
      <c r="K1427" s="39"/>
      <c r="L1427" s="40"/>
      <c r="M1427" s="28"/>
      <c r="N1427" s="10"/>
      <c r="O1427" s="15"/>
      <c r="P1427" s="16"/>
      <c r="Q1427" s="15"/>
      <c r="R1427" s="17"/>
    </row>
    <row r="1428">
      <c r="A1428" s="38"/>
      <c r="B1428" s="8"/>
      <c r="C1428" s="9"/>
      <c r="D1428" s="8"/>
      <c r="E1428" s="8"/>
      <c r="F1428" s="8"/>
      <c r="G1428" s="9"/>
      <c r="H1428" s="8"/>
      <c r="I1428" s="8"/>
      <c r="J1428" s="11"/>
      <c r="K1428" s="39"/>
      <c r="L1428" s="40"/>
      <c r="M1428" s="28"/>
      <c r="N1428" s="10"/>
      <c r="O1428" s="15"/>
      <c r="P1428" s="16"/>
      <c r="Q1428" s="15"/>
      <c r="R1428" s="17"/>
    </row>
    <row r="1429">
      <c r="A1429" s="38"/>
      <c r="B1429" s="8"/>
      <c r="C1429" s="9"/>
      <c r="D1429" s="8"/>
      <c r="E1429" s="8"/>
      <c r="F1429" s="8"/>
      <c r="G1429" s="9"/>
      <c r="H1429" s="8"/>
      <c r="I1429" s="8"/>
      <c r="J1429" s="11"/>
      <c r="K1429" s="39"/>
      <c r="L1429" s="40"/>
      <c r="M1429" s="28"/>
      <c r="N1429" s="10"/>
      <c r="O1429" s="15"/>
      <c r="P1429" s="16"/>
      <c r="Q1429" s="15"/>
      <c r="R1429" s="17"/>
    </row>
    <row r="1430">
      <c r="A1430" s="38"/>
      <c r="B1430" s="8"/>
      <c r="C1430" s="9"/>
      <c r="D1430" s="8"/>
      <c r="E1430" s="8"/>
      <c r="F1430" s="8"/>
      <c r="G1430" s="9"/>
      <c r="H1430" s="8"/>
      <c r="I1430" s="8"/>
      <c r="J1430" s="11"/>
      <c r="K1430" s="39"/>
      <c r="L1430" s="40"/>
      <c r="M1430" s="28"/>
      <c r="N1430" s="10"/>
      <c r="O1430" s="15"/>
      <c r="P1430" s="16"/>
      <c r="Q1430" s="15"/>
      <c r="R1430" s="17"/>
    </row>
    <row r="1431">
      <c r="A1431" s="38"/>
      <c r="B1431" s="8"/>
      <c r="C1431" s="9"/>
      <c r="D1431" s="8"/>
      <c r="E1431" s="8"/>
      <c r="F1431" s="8"/>
      <c r="G1431" s="9"/>
      <c r="H1431" s="8"/>
      <c r="I1431" s="8"/>
      <c r="J1431" s="11"/>
      <c r="K1431" s="39"/>
      <c r="L1431" s="40"/>
      <c r="M1431" s="28"/>
      <c r="N1431" s="10"/>
      <c r="O1431" s="15"/>
      <c r="P1431" s="16"/>
      <c r="Q1431" s="15"/>
      <c r="R1431" s="17"/>
    </row>
    <row r="1432">
      <c r="A1432" s="38"/>
      <c r="B1432" s="8"/>
      <c r="C1432" s="9"/>
      <c r="D1432" s="8"/>
      <c r="E1432" s="8"/>
      <c r="F1432" s="8"/>
      <c r="G1432" s="9"/>
      <c r="H1432" s="8"/>
      <c r="I1432" s="8"/>
      <c r="J1432" s="11"/>
      <c r="K1432" s="39"/>
      <c r="L1432" s="40"/>
      <c r="M1432" s="28"/>
      <c r="N1432" s="10"/>
      <c r="O1432" s="15"/>
      <c r="P1432" s="16"/>
      <c r="Q1432" s="15"/>
      <c r="R1432" s="17"/>
    </row>
    <row r="1433">
      <c r="A1433" s="38"/>
      <c r="B1433" s="8"/>
      <c r="C1433" s="9"/>
      <c r="D1433" s="8"/>
      <c r="E1433" s="8"/>
      <c r="F1433" s="8"/>
      <c r="G1433" s="9"/>
      <c r="H1433" s="8"/>
      <c r="I1433" s="8"/>
      <c r="J1433" s="11"/>
      <c r="K1433" s="39"/>
      <c r="L1433" s="40"/>
      <c r="M1433" s="28"/>
      <c r="N1433" s="10"/>
      <c r="O1433" s="15"/>
      <c r="P1433" s="16"/>
      <c r="Q1433" s="15"/>
      <c r="R1433" s="17"/>
    </row>
    <row r="1434">
      <c r="A1434" s="38"/>
      <c r="B1434" s="8"/>
      <c r="C1434" s="9"/>
      <c r="D1434" s="8"/>
      <c r="E1434" s="8"/>
      <c r="F1434" s="8"/>
      <c r="G1434" s="9"/>
      <c r="H1434" s="8"/>
      <c r="I1434" s="8"/>
      <c r="J1434" s="11"/>
      <c r="K1434" s="39"/>
      <c r="L1434" s="40"/>
      <c r="M1434" s="28"/>
      <c r="N1434" s="10"/>
      <c r="O1434" s="15"/>
      <c r="P1434" s="16"/>
      <c r="Q1434" s="15"/>
      <c r="R1434" s="17"/>
    </row>
    <row r="1435">
      <c r="A1435" s="38"/>
      <c r="B1435" s="8"/>
      <c r="C1435" s="9"/>
      <c r="D1435" s="8"/>
      <c r="E1435" s="8"/>
      <c r="F1435" s="8"/>
      <c r="G1435" s="9"/>
      <c r="H1435" s="8"/>
      <c r="I1435" s="8"/>
      <c r="J1435" s="11"/>
      <c r="K1435" s="39"/>
      <c r="L1435" s="40"/>
      <c r="M1435" s="28"/>
      <c r="N1435" s="10"/>
      <c r="O1435" s="15"/>
      <c r="P1435" s="16"/>
      <c r="Q1435" s="15"/>
      <c r="R1435" s="17"/>
    </row>
    <row r="1436">
      <c r="A1436" s="38"/>
      <c r="B1436" s="8"/>
      <c r="C1436" s="9"/>
      <c r="D1436" s="8"/>
      <c r="E1436" s="8"/>
      <c r="F1436" s="8"/>
      <c r="G1436" s="9"/>
      <c r="H1436" s="8"/>
      <c r="I1436" s="8"/>
      <c r="J1436" s="11"/>
      <c r="K1436" s="39"/>
      <c r="L1436" s="40"/>
      <c r="M1436" s="28"/>
      <c r="N1436" s="10"/>
      <c r="O1436" s="15"/>
      <c r="P1436" s="16"/>
      <c r="Q1436" s="15"/>
      <c r="R1436" s="17"/>
    </row>
    <row r="1437">
      <c r="A1437" s="38"/>
      <c r="B1437" s="8"/>
      <c r="C1437" s="9"/>
      <c r="D1437" s="8"/>
      <c r="E1437" s="8"/>
      <c r="F1437" s="8"/>
      <c r="G1437" s="9"/>
      <c r="H1437" s="8"/>
      <c r="I1437" s="8"/>
      <c r="J1437" s="11"/>
      <c r="K1437" s="39"/>
      <c r="L1437" s="40"/>
      <c r="M1437" s="28"/>
      <c r="N1437" s="10"/>
      <c r="O1437" s="15"/>
      <c r="P1437" s="16"/>
      <c r="Q1437" s="15"/>
      <c r="R1437" s="17"/>
    </row>
    <row r="1438">
      <c r="A1438" s="38"/>
      <c r="B1438" s="8"/>
      <c r="C1438" s="9"/>
      <c r="D1438" s="8"/>
      <c r="E1438" s="8"/>
      <c r="F1438" s="8"/>
      <c r="G1438" s="9"/>
      <c r="H1438" s="8"/>
      <c r="I1438" s="8"/>
      <c r="J1438" s="11"/>
      <c r="K1438" s="39"/>
      <c r="L1438" s="40"/>
      <c r="M1438" s="28"/>
      <c r="N1438" s="10"/>
      <c r="O1438" s="15"/>
      <c r="P1438" s="16"/>
      <c r="Q1438" s="15"/>
      <c r="R1438" s="17"/>
    </row>
    <row r="1439">
      <c r="A1439" s="38"/>
      <c r="B1439" s="8"/>
      <c r="C1439" s="9"/>
      <c r="D1439" s="8"/>
      <c r="E1439" s="8"/>
      <c r="F1439" s="8"/>
      <c r="G1439" s="9"/>
      <c r="H1439" s="8"/>
      <c r="I1439" s="8"/>
      <c r="J1439" s="11"/>
      <c r="K1439" s="39"/>
      <c r="L1439" s="40"/>
      <c r="M1439" s="28"/>
      <c r="N1439" s="10"/>
      <c r="O1439" s="15"/>
      <c r="P1439" s="16"/>
      <c r="Q1439" s="15"/>
      <c r="R1439" s="17"/>
    </row>
    <row r="1440">
      <c r="A1440" s="38"/>
      <c r="B1440" s="8"/>
      <c r="C1440" s="9"/>
      <c r="D1440" s="8"/>
      <c r="E1440" s="8"/>
      <c r="F1440" s="8"/>
      <c r="G1440" s="9"/>
      <c r="H1440" s="8"/>
      <c r="I1440" s="8"/>
      <c r="J1440" s="11"/>
      <c r="K1440" s="39"/>
      <c r="L1440" s="40"/>
      <c r="M1440" s="28"/>
      <c r="N1440" s="10"/>
      <c r="O1440" s="15"/>
      <c r="P1440" s="16"/>
      <c r="Q1440" s="15"/>
      <c r="R1440" s="17"/>
    </row>
    <row r="1441">
      <c r="A1441" s="38"/>
      <c r="B1441" s="8"/>
      <c r="C1441" s="9"/>
      <c r="D1441" s="8"/>
      <c r="E1441" s="8"/>
      <c r="F1441" s="8"/>
      <c r="G1441" s="9"/>
      <c r="H1441" s="8"/>
      <c r="I1441" s="8"/>
      <c r="J1441" s="11"/>
      <c r="K1441" s="39"/>
      <c r="L1441" s="40"/>
      <c r="M1441" s="28"/>
      <c r="N1441" s="10"/>
      <c r="O1441" s="15"/>
      <c r="P1441" s="16"/>
      <c r="Q1441" s="15"/>
      <c r="R1441" s="17"/>
    </row>
    <row r="1442">
      <c r="A1442" s="38"/>
      <c r="B1442" s="8"/>
      <c r="C1442" s="9"/>
      <c r="D1442" s="8"/>
      <c r="E1442" s="8"/>
      <c r="F1442" s="8"/>
      <c r="G1442" s="9"/>
      <c r="H1442" s="8"/>
      <c r="I1442" s="8"/>
      <c r="J1442" s="11"/>
      <c r="K1442" s="39"/>
      <c r="L1442" s="40"/>
      <c r="M1442" s="28"/>
      <c r="N1442" s="10"/>
      <c r="O1442" s="15"/>
      <c r="P1442" s="16"/>
      <c r="Q1442" s="15"/>
      <c r="R1442" s="17"/>
    </row>
    <row r="1443">
      <c r="A1443" s="38"/>
      <c r="B1443" s="8"/>
      <c r="C1443" s="9"/>
      <c r="D1443" s="8"/>
      <c r="E1443" s="8"/>
      <c r="F1443" s="8"/>
      <c r="G1443" s="9"/>
      <c r="H1443" s="8"/>
      <c r="I1443" s="8"/>
      <c r="J1443" s="11"/>
      <c r="K1443" s="39"/>
      <c r="L1443" s="40"/>
      <c r="M1443" s="28"/>
      <c r="N1443" s="10"/>
      <c r="O1443" s="15"/>
      <c r="P1443" s="16"/>
      <c r="Q1443" s="15"/>
      <c r="R1443" s="17"/>
    </row>
    <row r="1444">
      <c r="A1444" s="38"/>
      <c r="B1444" s="8"/>
      <c r="C1444" s="9"/>
      <c r="D1444" s="8"/>
      <c r="E1444" s="8"/>
      <c r="F1444" s="8"/>
      <c r="G1444" s="9"/>
      <c r="H1444" s="8"/>
      <c r="I1444" s="8"/>
      <c r="J1444" s="11"/>
      <c r="K1444" s="39"/>
      <c r="L1444" s="40"/>
      <c r="M1444" s="28"/>
      <c r="N1444" s="10"/>
      <c r="O1444" s="15"/>
      <c r="P1444" s="16"/>
      <c r="Q1444" s="15"/>
      <c r="R1444" s="17"/>
    </row>
    <row r="1445">
      <c r="A1445" s="38"/>
      <c r="B1445" s="8"/>
      <c r="C1445" s="9"/>
      <c r="D1445" s="8"/>
      <c r="E1445" s="8"/>
      <c r="F1445" s="8"/>
      <c r="G1445" s="9"/>
      <c r="H1445" s="8"/>
      <c r="I1445" s="8"/>
      <c r="J1445" s="11"/>
      <c r="K1445" s="39"/>
      <c r="L1445" s="40"/>
      <c r="M1445" s="28"/>
      <c r="N1445" s="10"/>
      <c r="O1445" s="15"/>
      <c r="P1445" s="16"/>
      <c r="Q1445" s="15"/>
      <c r="R1445" s="17"/>
    </row>
    <row r="1446">
      <c r="A1446" s="38"/>
      <c r="B1446" s="8"/>
      <c r="C1446" s="9"/>
      <c r="D1446" s="8"/>
      <c r="E1446" s="8"/>
      <c r="F1446" s="8"/>
      <c r="G1446" s="9"/>
      <c r="H1446" s="8"/>
      <c r="I1446" s="8"/>
      <c r="J1446" s="11"/>
      <c r="K1446" s="39"/>
      <c r="L1446" s="40"/>
      <c r="M1446" s="28"/>
      <c r="N1446" s="10"/>
      <c r="O1446" s="15"/>
      <c r="P1446" s="16"/>
      <c r="Q1446" s="15"/>
      <c r="R1446" s="17"/>
    </row>
    <row r="1447">
      <c r="A1447" s="38"/>
      <c r="B1447" s="8"/>
      <c r="C1447" s="9"/>
      <c r="D1447" s="8"/>
      <c r="E1447" s="8"/>
      <c r="F1447" s="8"/>
      <c r="G1447" s="9"/>
      <c r="H1447" s="8"/>
      <c r="I1447" s="8"/>
      <c r="J1447" s="11"/>
      <c r="K1447" s="39"/>
      <c r="L1447" s="40"/>
      <c r="M1447" s="28"/>
      <c r="N1447" s="10"/>
      <c r="O1447" s="15"/>
      <c r="P1447" s="16"/>
      <c r="Q1447" s="15"/>
      <c r="R1447" s="17"/>
    </row>
    <row r="1448">
      <c r="A1448" s="38"/>
      <c r="B1448" s="8"/>
      <c r="C1448" s="9"/>
      <c r="D1448" s="8"/>
      <c r="E1448" s="8"/>
      <c r="F1448" s="8"/>
      <c r="G1448" s="9"/>
      <c r="H1448" s="8"/>
      <c r="I1448" s="8"/>
      <c r="J1448" s="11"/>
      <c r="K1448" s="39"/>
      <c r="L1448" s="40"/>
      <c r="M1448" s="28"/>
      <c r="N1448" s="10"/>
      <c r="O1448" s="15"/>
      <c r="P1448" s="16"/>
      <c r="Q1448" s="15"/>
      <c r="R1448" s="17"/>
    </row>
    <row r="1449">
      <c r="A1449" s="38"/>
      <c r="B1449" s="8"/>
      <c r="C1449" s="9"/>
      <c r="D1449" s="8"/>
      <c r="E1449" s="8"/>
      <c r="F1449" s="8"/>
      <c r="G1449" s="9"/>
      <c r="H1449" s="8"/>
      <c r="I1449" s="8"/>
      <c r="J1449" s="11"/>
      <c r="K1449" s="39"/>
      <c r="L1449" s="40"/>
      <c r="M1449" s="28"/>
      <c r="N1449" s="10"/>
      <c r="O1449" s="15"/>
      <c r="P1449" s="16"/>
      <c r="Q1449" s="15"/>
      <c r="R1449" s="17"/>
    </row>
    <row r="1450">
      <c r="A1450" s="38"/>
      <c r="B1450" s="8"/>
      <c r="C1450" s="9"/>
      <c r="D1450" s="8"/>
      <c r="E1450" s="8"/>
      <c r="F1450" s="8"/>
      <c r="G1450" s="9"/>
      <c r="H1450" s="8"/>
      <c r="I1450" s="8"/>
      <c r="J1450" s="11"/>
      <c r="K1450" s="39"/>
      <c r="L1450" s="40"/>
      <c r="M1450" s="28"/>
      <c r="N1450" s="10"/>
      <c r="O1450" s="15"/>
      <c r="P1450" s="16"/>
      <c r="Q1450" s="15"/>
      <c r="R1450" s="17"/>
    </row>
    <row r="1451">
      <c r="A1451" s="38"/>
      <c r="B1451" s="8"/>
      <c r="C1451" s="9"/>
      <c r="D1451" s="8"/>
      <c r="E1451" s="8"/>
      <c r="F1451" s="8"/>
      <c r="G1451" s="9"/>
      <c r="H1451" s="8"/>
      <c r="I1451" s="8"/>
      <c r="J1451" s="11"/>
      <c r="K1451" s="39"/>
      <c r="L1451" s="40"/>
      <c r="M1451" s="28"/>
      <c r="N1451" s="10"/>
      <c r="O1451" s="15"/>
      <c r="P1451" s="16"/>
      <c r="Q1451" s="15"/>
      <c r="R1451" s="17"/>
    </row>
    <row r="1452">
      <c r="A1452" s="38"/>
      <c r="B1452" s="8"/>
      <c r="C1452" s="9"/>
      <c r="D1452" s="8"/>
      <c r="E1452" s="8"/>
      <c r="F1452" s="8"/>
      <c r="G1452" s="9"/>
      <c r="H1452" s="8"/>
      <c r="I1452" s="8"/>
      <c r="J1452" s="11"/>
      <c r="K1452" s="39"/>
      <c r="L1452" s="40"/>
      <c r="M1452" s="28"/>
      <c r="N1452" s="10"/>
      <c r="O1452" s="15"/>
      <c r="P1452" s="16"/>
      <c r="Q1452" s="15"/>
      <c r="R1452" s="17"/>
    </row>
    <row r="1453">
      <c r="A1453" s="38"/>
      <c r="B1453" s="8"/>
      <c r="C1453" s="9"/>
      <c r="D1453" s="8"/>
      <c r="E1453" s="8"/>
      <c r="F1453" s="8"/>
      <c r="G1453" s="9"/>
      <c r="H1453" s="8"/>
      <c r="I1453" s="8"/>
      <c r="J1453" s="11"/>
      <c r="K1453" s="39"/>
      <c r="L1453" s="40"/>
      <c r="M1453" s="28"/>
      <c r="N1453" s="10"/>
      <c r="O1453" s="15"/>
      <c r="P1453" s="16"/>
      <c r="Q1453" s="15"/>
      <c r="R1453" s="17"/>
    </row>
    <row r="1454">
      <c r="A1454" s="38"/>
      <c r="B1454" s="8"/>
      <c r="C1454" s="9"/>
      <c r="D1454" s="8"/>
      <c r="E1454" s="8"/>
      <c r="F1454" s="8"/>
      <c r="G1454" s="9"/>
      <c r="H1454" s="8"/>
      <c r="I1454" s="8"/>
      <c r="J1454" s="11"/>
      <c r="K1454" s="39"/>
      <c r="L1454" s="40"/>
      <c r="M1454" s="28"/>
      <c r="N1454" s="10"/>
      <c r="O1454" s="15"/>
      <c r="P1454" s="16"/>
      <c r="Q1454" s="15"/>
      <c r="R1454" s="17"/>
    </row>
    <row r="1455">
      <c r="A1455" s="38"/>
      <c r="B1455" s="8"/>
      <c r="C1455" s="9"/>
      <c r="D1455" s="8"/>
      <c r="E1455" s="8"/>
      <c r="F1455" s="8"/>
      <c r="G1455" s="9"/>
      <c r="H1455" s="8"/>
      <c r="I1455" s="8"/>
      <c r="J1455" s="11"/>
      <c r="K1455" s="39"/>
      <c r="L1455" s="40"/>
      <c r="M1455" s="28"/>
      <c r="N1455" s="10"/>
      <c r="O1455" s="15"/>
      <c r="P1455" s="16"/>
      <c r="Q1455" s="15"/>
      <c r="R1455" s="17"/>
    </row>
    <row r="1456">
      <c r="A1456" s="38"/>
      <c r="B1456" s="8"/>
      <c r="C1456" s="9"/>
      <c r="D1456" s="8"/>
      <c r="E1456" s="8"/>
      <c r="F1456" s="8"/>
      <c r="G1456" s="9"/>
      <c r="H1456" s="8"/>
      <c r="I1456" s="8"/>
      <c r="J1456" s="11"/>
      <c r="K1456" s="39"/>
      <c r="L1456" s="40"/>
      <c r="M1456" s="28"/>
      <c r="N1456" s="10"/>
      <c r="O1456" s="15"/>
      <c r="P1456" s="16"/>
      <c r="Q1456" s="15"/>
      <c r="R1456" s="17"/>
    </row>
    <row r="1457">
      <c r="A1457" s="38"/>
      <c r="B1457" s="8"/>
      <c r="C1457" s="9"/>
      <c r="D1457" s="8"/>
      <c r="E1457" s="8"/>
      <c r="F1457" s="8"/>
      <c r="G1457" s="9"/>
      <c r="H1457" s="8"/>
      <c r="I1457" s="8"/>
      <c r="J1457" s="11"/>
      <c r="K1457" s="39"/>
      <c r="L1457" s="40"/>
      <c r="M1457" s="28"/>
      <c r="N1457" s="10"/>
      <c r="O1457" s="15"/>
      <c r="P1457" s="16"/>
      <c r="Q1457" s="15"/>
      <c r="R1457" s="17"/>
    </row>
    <row r="1458">
      <c r="A1458" s="38"/>
      <c r="B1458" s="8"/>
      <c r="C1458" s="9"/>
      <c r="D1458" s="8"/>
      <c r="E1458" s="8"/>
      <c r="F1458" s="8"/>
      <c r="G1458" s="9"/>
      <c r="H1458" s="8"/>
      <c r="I1458" s="8"/>
      <c r="J1458" s="11"/>
      <c r="K1458" s="39"/>
      <c r="L1458" s="40"/>
      <c r="M1458" s="28"/>
      <c r="N1458" s="10"/>
      <c r="O1458" s="15"/>
      <c r="P1458" s="16"/>
      <c r="Q1458" s="15"/>
      <c r="R1458" s="17"/>
    </row>
    <row r="1459">
      <c r="A1459" s="38"/>
      <c r="B1459" s="8"/>
      <c r="C1459" s="9"/>
      <c r="D1459" s="8"/>
      <c r="E1459" s="8"/>
      <c r="F1459" s="8"/>
      <c r="G1459" s="9"/>
      <c r="H1459" s="8"/>
      <c r="I1459" s="8"/>
      <c r="J1459" s="11"/>
      <c r="K1459" s="39"/>
      <c r="L1459" s="40"/>
      <c r="M1459" s="28"/>
      <c r="N1459" s="10"/>
      <c r="O1459" s="15"/>
      <c r="P1459" s="16"/>
      <c r="Q1459" s="15"/>
      <c r="R1459" s="17"/>
    </row>
    <row r="1460">
      <c r="A1460" s="38"/>
      <c r="B1460" s="8"/>
      <c r="C1460" s="9"/>
      <c r="D1460" s="8"/>
      <c r="E1460" s="8"/>
      <c r="F1460" s="8"/>
      <c r="G1460" s="9"/>
      <c r="H1460" s="8"/>
      <c r="I1460" s="8"/>
      <c r="J1460" s="11"/>
      <c r="K1460" s="39"/>
      <c r="L1460" s="40"/>
      <c r="M1460" s="28"/>
      <c r="N1460" s="10"/>
      <c r="O1460" s="15"/>
      <c r="P1460" s="16"/>
      <c r="Q1460" s="15"/>
      <c r="R1460" s="17"/>
    </row>
    <row r="1461">
      <c r="A1461" s="38"/>
      <c r="B1461" s="8"/>
      <c r="C1461" s="9"/>
      <c r="D1461" s="8"/>
      <c r="E1461" s="8"/>
      <c r="F1461" s="8"/>
      <c r="G1461" s="9"/>
      <c r="H1461" s="8"/>
      <c r="I1461" s="8"/>
      <c r="J1461" s="11"/>
      <c r="K1461" s="39"/>
      <c r="L1461" s="40"/>
      <c r="M1461" s="28"/>
      <c r="N1461" s="10"/>
      <c r="O1461" s="15"/>
      <c r="P1461" s="16"/>
      <c r="Q1461" s="15"/>
      <c r="R1461" s="17"/>
    </row>
    <row r="1462">
      <c r="A1462" s="38"/>
      <c r="B1462" s="8"/>
      <c r="C1462" s="9"/>
      <c r="D1462" s="8"/>
      <c r="E1462" s="8"/>
      <c r="F1462" s="8"/>
      <c r="G1462" s="9"/>
      <c r="H1462" s="8"/>
      <c r="I1462" s="8"/>
      <c r="J1462" s="11"/>
      <c r="K1462" s="39"/>
      <c r="L1462" s="40"/>
      <c r="M1462" s="28"/>
      <c r="N1462" s="10"/>
      <c r="O1462" s="15"/>
      <c r="P1462" s="16"/>
      <c r="Q1462" s="15"/>
      <c r="R1462" s="17"/>
    </row>
    <row r="1463">
      <c r="A1463" s="38"/>
      <c r="B1463" s="8"/>
      <c r="C1463" s="9"/>
      <c r="D1463" s="8"/>
      <c r="E1463" s="8"/>
      <c r="F1463" s="8"/>
      <c r="G1463" s="9"/>
      <c r="H1463" s="8"/>
      <c r="I1463" s="8"/>
      <c r="J1463" s="11"/>
      <c r="K1463" s="39"/>
      <c r="L1463" s="40"/>
      <c r="M1463" s="28"/>
      <c r="N1463" s="10"/>
      <c r="O1463" s="15"/>
      <c r="P1463" s="16"/>
      <c r="Q1463" s="15"/>
      <c r="R1463" s="17"/>
    </row>
    <row r="1464">
      <c r="A1464" s="38"/>
      <c r="B1464" s="8"/>
      <c r="C1464" s="9"/>
      <c r="D1464" s="8"/>
      <c r="E1464" s="8"/>
      <c r="F1464" s="8"/>
      <c r="G1464" s="9"/>
      <c r="H1464" s="8"/>
      <c r="I1464" s="8"/>
      <c r="J1464" s="11"/>
      <c r="K1464" s="39"/>
      <c r="L1464" s="40"/>
      <c r="M1464" s="28"/>
      <c r="N1464" s="10"/>
      <c r="O1464" s="15"/>
      <c r="P1464" s="16"/>
      <c r="Q1464" s="15"/>
      <c r="R1464" s="17"/>
    </row>
    <row r="1465">
      <c r="A1465" s="38"/>
      <c r="B1465" s="8"/>
      <c r="C1465" s="9"/>
      <c r="D1465" s="8"/>
      <c r="E1465" s="8"/>
      <c r="F1465" s="8"/>
      <c r="G1465" s="9"/>
      <c r="H1465" s="8"/>
      <c r="I1465" s="8"/>
      <c r="J1465" s="11"/>
      <c r="K1465" s="39"/>
      <c r="L1465" s="40"/>
      <c r="M1465" s="28"/>
      <c r="N1465" s="10"/>
      <c r="O1465" s="15"/>
      <c r="P1465" s="16"/>
      <c r="Q1465" s="15"/>
      <c r="R1465" s="17"/>
    </row>
    <row r="1466">
      <c r="A1466" s="38"/>
      <c r="B1466" s="8"/>
      <c r="C1466" s="9"/>
      <c r="D1466" s="8"/>
      <c r="E1466" s="8"/>
      <c r="F1466" s="8"/>
      <c r="G1466" s="9"/>
      <c r="H1466" s="8"/>
      <c r="I1466" s="8"/>
      <c r="J1466" s="11"/>
      <c r="K1466" s="39"/>
      <c r="L1466" s="40"/>
      <c r="M1466" s="28"/>
      <c r="N1466" s="10"/>
      <c r="O1466" s="15"/>
      <c r="P1466" s="16"/>
      <c r="Q1466" s="15"/>
      <c r="R1466" s="17"/>
    </row>
    <row r="1467">
      <c r="A1467" s="38"/>
      <c r="B1467" s="8"/>
      <c r="C1467" s="9"/>
      <c r="D1467" s="8"/>
      <c r="E1467" s="8"/>
      <c r="F1467" s="8"/>
      <c r="G1467" s="9"/>
      <c r="H1467" s="8"/>
      <c r="I1467" s="8"/>
      <c r="J1467" s="11"/>
      <c r="K1467" s="39"/>
      <c r="L1467" s="40"/>
      <c r="M1467" s="28"/>
      <c r="N1467" s="10"/>
      <c r="O1467" s="15"/>
      <c r="P1467" s="16"/>
      <c r="Q1467" s="15"/>
      <c r="R1467" s="17"/>
    </row>
    <row r="1468">
      <c r="A1468" s="38"/>
      <c r="B1468" s="8"/>
      <c r="C1468" s="9"/>
      <c r="D1468" s="8"/>
      <c r="E1468" s="8"/>
      <c r="F1468" s="8"/>
      <c r="G1468" s="9"/>
      <c r="H1468" s="8"/>
      <c r="I1468" s="8"/>
      <c r="J1468" s="11"/>
      <c r="K1468" s="39"/>
      <c r="L1468" s="40"/>
      <c r="M1468" s="28"/>
      <c r="N1468" s="10"/>
      <c r="O1468" s="15"/>
      <c r="P1468" s="16"/>
      <c r="Q1468" s="15"/>
      <c r="R1468" s="17"/>
    </row>
    <row r="1469">
      <c r="A1469" s="38"/>
      <c r="B1469" s="8"/>
      <c r="C1469" s="9"/>
      <c r="D1469" s="8"/>
      <c r="E1469" s="8"/>
      <c r="F1469" s="8"/>
      <c r="G1469" s="9"/>
      <c r="H1469" s="8"/>
      <c r="I1469" s="8"/>
      <c r="J1469" s="11"/>
      <c r="K1469" s="39"/>
      <c r="L1469" s="40"/>
      <c r="M1469" s="28"/>
      <c r="N1469" s="10"/>
      <c r="O1469" s="15"/>
      <c r="P1469" s="16"/>
      <c r="Q1469" s="15"/>
      <c r="R1469" s="17"/>
    </row>
    <row r="1470">
      <c r="A1470" s="38"/>
      <c r="B1470" s="8"/>
      <c r="C1470" s="9"/>
      <c r="D1470" s="8"/>
      <c r="E1470" s="8"/>
      <c r="F1470" s="8"/>
      <c r="G1470" s="9"/>
      <c r="H1470" s="8"/>
      <c r="I1470" s="8"/>
      <c r="J1470" s="11"/>
      <c r="K1470" s="39"/>
      <c r="L1470" s="40"/>
      <c r="M1470" s="28"/>
      <c r="N1470" s="10"/>
      <c r="O1470" s="15"/>
      <c r="P1470" s="16"/>
      <c r="Q1470" s="15"/>
      <c r="R1470" s="17"/>
    </row>
    <row r="1471">
      <c r="A1471" s="38"/>
      <c r="B1471" s="8"/>
      <c r="C1471" s="9"/>
      <c r="D1471" s="8"/>
      <c r="E1471" s="8"/>
      <c r="F1471" s="8"/>
      <c r="G1471" s="9"/>
      <c r="H1471" s="8"/>
      <c r="I1471" s="8"/>
      <c r="J1471" s="11"/>
      <c r="K1471" s="39"/>
      <c r="L1471" s="40"/>
      <c r="M1471" s="28"/>
      <c r="N1471" s="10"/>
      <c r="O1471" s="15"/>
      <c r="P1471" s="16"/>
      <c r="Q1471" s="15"/>
      <c r="R1471" s="17"/>
    </row>
    <row r="1472">
      <c r="A1472" s="38"/>
      <c r="B1472" s="8"/>
      <c r="C1472" s="9"/>
      <c r="D1472" s="8"/>
      <c r="E1472" s="8"/>
      <c r="F1472" s="8"/>
      <c r="G1472" s="9"/>
      <c r="H1472" s="8"/>
      <c r="I1472" s="8"/>
      <c r="J1472" s="11"/>
      <c r="K1472" s="39"/>
      <c r="L1472" s="40"/>
      <c r="M1472" s="28"/>
      <c r="N1472" s="10"/>
      <c r="O1472" s="15"/>
      <c r="P1472" s="16"/>
      <c r="Q1472" s="15"/>
      <c r="R1472" s="17"/>
    </row>
    <row r="1473">
      <c r="A1473" s="38"/>
      <c r="B1473" s="8"/>
      <c r="C1473" s="9"/>
      <c r="D1473" s="8"/>
      <c r="E1473" s="8"/>
      <c r="F1473" s="8"/>
      <c r="G1473" s="9"/>
      <c r="H1473" s="8"/>
      <c r="I1473" s="8"/>
      <c r="J1473" s="11"/>
      <c r="K1473" s="39"/>
      <c r="L1473" s="40"/>
      <c r="M1473" s="28"/>
      <c r="N1473" s="10"/>
      <c r="O1473" s="15"/>
      <c r="P1473" s="16"/>
      <c r="Q1473" s="15"/>
      <c r="R1473" s="17"/>
    </row>
    <row r="1474">
      <c r="A1474" s="38"/>
      <c r="B1474" s="8"/>
      <c r="C1474" s="9"/>
      <c r="D1474" s="8"/>
      <c r="E1474" s="8"/>
      <c r="F1474" s="8"/>
      <c r="G1474" s="9"/>
      <c r="H1474" s="8"/>
      <c r="I1474" s="8"/>
      <c r="J1474" s="11"/>
      <c r="K1474" s="39"/>
      <c r="L1474" s="40"/>
      <c r="M1474" s="28"/>
      <c r="N1474" s="10"/>
      <c r="O1474" s="15"/>
      <c r="P1474" s="16"/>
      <c r="Q1474" s="15"/>
      <c r="R1474" s="17"/>
    </row>
    <row r="1475">
      <c r="A1475" s="38"/>
      <c r="B1475" s="8"/>
      <c r="C1475" s="9"/>
      <c r="D1475" s="8"/>
      <c r="E1475" s="8"/>
      <c r="F1475" s="8"/>
      <c r="G1475" s="9"/>
      <c r="H1475" s="8"/>
      <c r="I1475" s="8"/>
      <c r="J1475" s="11"/>
      <c r="K1475" s="39"/>
      <c r="L1475" s="40"/>
      <c r="M1475" s="28"/>
      <c r="N1475" s="10"/>
      <c r="O1475" s="15"/>
      <c r="P1475" s="16"/>
      <c r="Q1475" s="15"/>
      <c r="R1475" s="17"/>
    </row>
    <row r="1476">
      <c r="A1476" s="38"/>
      <c r="B1476" s="8"/>
      <c r="C1476" s="9"/>
      <c r="D1476" s="8"/>
      <c r="E1476" s="8"/>
      <c r="F1476" s="8"/>
      <c r="G1476" s="9"/>
      <c r="H1476" s="8"/>
      <c r="I1476" s="8"/>
      <c r="J1476" s="11"/>
      <c r="K1476" s="39"/>
      <c r="L1476" s="40"/>
      <c r="M1476" s="28"/>
      <c r="N1476" s="10"/>
      <c r="O1476" s="15"/>
      <c r="P1476" s="16"/>
      <c r="Q1476" s="15"/>
      <c r="R1476" s="17"/>
    </row>
    <row r="1477">
      <c r="A1477" s="38"/>
      <c r="B1477" s="8"/>
      <c r="C1477" s="9"/>
      <c r="D1477" s="8"/>
      <c r="E1477" s="8"/>
      <c r="F1477" s="8"/>
      <c r="G1477" s="9"/>
      <c r="H1477" s="8"/>
      <c r="I1477" s="8"/>
      <c r="J1477" s="11"/>
      <c r="K1477" s="39"/>
      <c r="L1477" s="40"/>
      <c r="M1477" s="28"/>
      <c r="N1477" s="10"/>
      <c r="O1477" s="15"/>
      <c r="P1477" s="16"/>
      <c r="Q1477" s="15"/>
      <c r="R1477" s="17"/>
    </row>
    <row r="1478">
      <c r="A1478" s="38"/>
      <c r="B1478" s="8"/>
      <c r="C1478" s="9"/>
      <c r="D1478" s="8"/>
      <c r="E1478" s="8"/>
      <c r="F1478" s="8"/>
      <c r="G1478" s="9"/>
      <c r="H1478" s="8"/>
      <c r="I1478" s="8"/>
      <c r="J1478" s="11"/>
      <c r="K1478" s="39"/>
      <c r="L1478" s="40"/>
      <c r="M1478" s="28"/>
      <c r="N1478" s="10"/>
      <c r="O1478" s="15"/>
      <c r="P1478" s="16"/>
      <c r="Q1478" s="15"/>
      <c r="R1478" s="17"/>
    </row>
    <row r="1479">
      <c r="A1479" s="38"/>
      <c r="B1479" s="8"/>
      <c r="C1479" s="9"/>
      <c r="D1479" s="8"/>
      <c r="E1479" s="8"/>
      <c r="F1479" s="8"/>
      <c r="G1479" s="9"/>
      <c r="H1479" s="8"/>
      <c r="I1479" s="8"/>
      <c r="J1479" s="11"/>
      <c r="K1479" s="39"/>
      <c r="L1479" s="40"/>
      <c r="M1479" s="28"/>
      <c r="N1479" s="10"/>
      <c r="O1479" s="15"/>
      <c r="P1479" s="16"/>
      <c r="Q1479" s="15"/>
      <c r="R1479" s="17"/>
    </row>
    <row r="1480">
      <c r="A1480" s="38"/>
      <c r="B1480" s="8"/>
      <c r="C1480" s="9"/>
      <c r="D1480" s="8"/>
      <c r="E1480" s="8"/>
      <c r="F1480" s="8"/>
      <c r="G1480" s="9"/>
      <c r="H1480" s="8"/>
      <c r="I1480" s="8"/>
      <c r="J1480" s="11"/>
      <c r="K1480" s="39"/>
      <c r="L1480" s="40"/>
      <c r="M1480" s="28"/>
      <c r="N1480" s="10"/>
      <c r="O1480" s="15"/>
      <c r="P1480" s="16"/>
      <c r="Q1480" s="15"/>
      <c r="R1480" s="17"/>
    </row>
    <row r="1481">
      <c r="A1481" s="38"/>
      <c r="B1481" s="8"/>
      <c r="C1481" s="9"/>
      <c r="D1481" s="8"/>
      <c r="E1481" s="8"/>
      <c r="F1481" s="8"/>
      <c r="G1481" s="9"/>
      <c r="H1481" s="8"/>
      <c r="I1481" s="8"/>
      <c r="J1481" s="11"/>
      <c r="K1481" s="39"/>
      <c r="L1481" s="40"/>
      <c r="M1481" s="28"/>
      <c r="N1481" s="10"/>
      <c r="O1481" s="15"/>
      <c r="P1481" s="16"/>
      <c r="Q1481" s="15"/>
      <c r="R1481" s="17"/>
    </row>
    <row r="1482">
      <c r="A1482" s="38"/>
      <c r="B1482" s="8"/>
      <c r="C1482" s="9"/>
      <c r="D1482" s="8"/>
      <c r="E1482" s="8"/>
      <c r="F1482" s="8"/>
      <c r="G1482" s="9"/>
      <c r="H1482" s="8"/>
      <c r="I1482" s="8"/>
      <c r="J1482" s="11"/>
      <c r="K1482" s="39"/>
      <c r="L1482" s="40"/>
      <c r="M1482" s="28"/>
      <c r="N1482" s="10"/>
      <c r="O1482" s="15"/>
      <c r="P1482" s="16"/>
      <c r="Q1482" s="15"/>
      <c r="R1482" s="17"/>
    </row>
    <row r="1483">
      <c r="A1483" s="38"/>
      <c r="B1483" s="8"/>
      <c r="C1483" s="9"/>
      <c r="D1483" s="8"/>
      <c r="E1483" s="8"/>
      <c r="F1483" s="8"/>
      <c r="G1483" s="9"/>
      <c r="H1483" s="8"/>
      <c r="I1483" s="8"/>
      <c r="J1483" s="11"/>
      <c r="K1483" s="39"/>
      <c r="L1483" s="40"/>
      <c r="M1483" s="28"/>
      <c r="N1483" s="10"/>
      <c r="O1483" s="15"/>
      <c r="P1483" s="16"/>
      <c r="Q1483" s="15"/>
      <c r="R1483" s="17"/>
    </row>
    <row r="1484">
      <c r="A1484" s="38"/>
      <c r="B1484" s="8"/>
      <c r="C1484" s="9"/>
      <c r="D1484" s="8"/>
      <c r="E1484" s="8"/>
      <c r="F1484" s="8"/>
      <c r="G1484" s="9"/>
      <c r="H1484" s="8"/>
      <c r="I1484" s="8"/>
      <c r="J1484" s="11"/>
      <c r="K1484" s="39"/>
      <c r="L1484" s="40"/>
      <c r="M1484" s="28"/>
      <c r="N1484" s="10"/>
      <c r="O1484" s="15"/>
      <c r="P1484" s="16"/>
      <c r="Q1484" s="15"/>
      <c r="R1484" s="17"/>
    </row>
    <row r="1485">
      <c r="A1485" s="38"/>
      <c r="B1485" s="8"/>
      <c r="C1485" s="9"/>
      <c r="D1485" s="8"/>
      <c r="E1485" s="8"/>
      <c r="F1485" s="8"/>
      <c r="G1485" s="9"/>
      <c r="H1485" s="8"/>
      <c r="I1485" s="8"/>
      <c r="J1485" s="11"/>
      <c r="K1485" s="39"/>
      <c r="L1485" s="40"/>
      <c r="M1485" s="28"/>
      <c r="N1485" s="10"/>
      <c r="O1485" s="15"/>
      <c r="P1485" s="16"/>
      <c r="Q1485" s="15"/>
      <c r="R1485" s="17"/>
    </row>
    <row r="1486">
      <c r="A1486" s="38"/>
      <c r="B1486" s="8"/>
      <c r="C1486" s="9"/>
      <c r="D1486" s="8"/>
      <c r="E1486" s="8"/>
      <c r="F1486" s="8"/>
      <c r="G1486" s="9"/>
      <c r="H1486" s="8"/>
      <c r="I1486" s="8"/>
      <c r="J1486" s="11"/>
      <c r="K1486" s="39"/>
      <c r="L1486" s="40"/>
      <c r="M1486" s="28"/>
      <c r="N1486" s="10"/>
      <c r="O1486" s="15"/>
      <c r="P1486" s="16"/>
      <c r="Q1486" s="15"/>
      <c r="R1486" s="17"/>
    </row>
    <row r="1487">
      <c r="A1487" s="38"/>
      <c r="B1487" s="8"/>
      <c r="C1487" s="9"/>
      <c r="D1487" s="8"/>
      <c r="E1487" s="8"/>
      <c r="F1487" s="8"/>
      <c r="G1487" s="9"/>
      <c r="H1487" s="8"/>
      <c r="I1487" s="8"/>
      <c r="J1487" s="11"/>
      <c r="K1487" s="39"/>
      <c r="L1487" s="40"/>
      <c r="M1487" s="28"/>
      <c r="N1487" s="10"/>
      <c r="O1487" s="15"/>
      <c r="P1487" s="16"/>
      <c r="Q1487" s="15"/>
      <c r="R1487" s="17"/>
    </row>
    <row r="1488">
      <c r="A1488" s="38"/>
      <c r="B1488" s="8"/>
      <c r="C1488" s="9"/>
      <c r="D1488" s="8"/>
      <c r="E1488" s="8"/>
      <c r="F1488" s="8"/>
      <c r="G1488" s="9"/>
      <c r="H1488" s="8"/>
      <c r="I1488" s="8"/>
      <c r="J1488" s="11"/>
      <c r="K1488" s="39"/>
      <c r="L1488" s="40"/>
      <c r="M1488" s="28"/>
      <c r="N1488" s="10"/>
      <c r="O1488" s="15"/>
      <c r="P1488" s="16"/>
      <c r="Q1488" s="15"/>
      <c r="R1488" s="17"/>
    </row>
    <row r="1489">
      <c r="A1489" s="38"/>
      <c r="B1489" s="8"/>
      <c r="C1489" s="9"/>
      <c r="D1489" s="8"/>
      <c r="E1489" s="8"/>
      <c r="F1489" s="8"/>
      <c r="G1489" s="9"/>
      <c r="H1489" s="8"/>
      <c r="I1489" s="8"/>
      <c r="J1489" s="11"/>
      <c r="K1489" s="39"/>
      <c r="L1489" s="40"/>
      <c r="M1489" s="28"/>
      <c r="N1489" s="10"/>
      <c r="O1489" s="15"/>
      <c r="P1489" s="16"/>
      <c r="Q1489" s="15"/>
      <c r="R1489" s="17"/>
    </row>
    <row r="1490">
      <c r="A1490" s="38"/>
      <c r="B1490" s="8"/>
      <c r="C1490" s="9"/>
      <c r="D1490" s="8"/>
      <c r="E1490" s="8"/>
      <c r="F1490" s="8"/>
      <c r="G1490" s="9"/>
      <c r="H1490" s="8"/>
      <c r="I1490" s="8"/>
      <c r="J1490" s="11"/>
      <c r="K1490" s="39"/>
      <c r="L1490" s="40"/>
      <c r="M1490" s="28"/>
      <c r="N1490" s="10"/>
      <c r="O1490" s="15"/>
      <c r="P1490" s="16"/>
      <c r="Q1490" s="15"/>
      <c r="R1490" s="17"/>
    </row>
    <row r="1491">
      <c r="A1491" s="38"/>
      <c r="B1491" s="8"/>
      <c r="C1491" s="9"/>
      <c r="D1491" s="8"/>
      <c r="E1491" s="8"/>
      <c r="F1491" s="8"/>
      <c r="G1491" s="9"/>
      <c r="H1491" s="8"/>
      <c r="I1491" s="8"/>
      <c r="J1491" s="11"/>
      <c r="K1491" s="39"/>
      <c r="L1491" s="40"/>
      <c r="M1491" s="28"/>
      <c r="N1491" s="10"/>
      <c r="O1491" s="15"/>
      <c r="P1491" s="16"/>
      <c r="Q1491" s="15"/>
      <c r="R1491" s="17"/>
    </row>
    <row r="1492">
      <c r="A1492" s="38"/>
      <c r="B1492" s="8"/>
      <c r="C1492" s="9"/>
      <c r="D1492" s="8"/>
      <c r="E1492" s="8"/>
      <c r="F1492" s="8"/>
      <c r="G1492" s="9"/>
      <c r="H1492" s="8"/>
      <c r="I1492" s="8"/>
      <c r="J1492" s="11"/>
      <c r="K1492" s="39"/>
      <c r="L1492" s="40"/>
      <c r="M1492" s="28"/>
      <c r="N1492" s="10"/>
      <c r="O1492" s="15"/>
      <c r="P1492" s="16"/>
      <c r="Q1492" s="15"/>
      <c r="R1492" s="17"/>
    </row>
    <row r="1493">
      <c r="A1493" s="38"/>
      <c r="B1493" s="8"/>
      <c r="C1493" s="9"/>
      <c r="D1493" s="8"/>
      <c r="E1493" s="8"/>
      <c r="F1493" s="8"/>
      <c r="G1493" s="9"/>
      <c r="H1493" s="8"/>
      <c r="I1493" s="8"/>
      <c r="J1493" s="11"/>
      <c r="K1493" s="39"/>
      <c r="L1493" s="40"/>
      <c r="M1493" s="28"/>
      <c r="N1493" s="10"/>
      <c r="O1493" s="15"/>
      <c r="P1493" s="16"/>
      <c r="Q1493" s="15"/>
      <c r="R1493" s="17"/>
    </row>
    <row r="1494">
      <c r="A1494" s="38"/>
      <c r="B1494" s="8"/>
      <c r="C1494" s="9"/>
      <c r="D1494" s="8"/>
      <c r="E1494" s="8"/>
      <c r="F1494" s="8"/>
      <c r="G1494" s="9"/>
      <c r="H1494" s="8"/>
      <c r="I1494" s="8"/>
      <c r="J1494" s="11"/>
      <c r="K1494" s="39"/>
      <c r="L1494" s="40"/>
      <c r="M1494" s="28"/>
      <c r="N1494" s="10"/>
      <c r="O1494" s="15"/>
      <c r="P1494" s="16"/>
      <c r="Q1494" s="15"/>
      <c r="R1494" s="17"/>
    </row>
    <row r="1495">
      <c r="A1495" s="38"/>
      <c r="B1495" s="8"/>
      <c r="C1495" s="9"/>
      <c r="D1495" s="8"/>
      <c r="E1495" s="8"/>
      <c r="F1495" s="8"/>
      <c r="G1495" s="9"/>
      <c r="H1495" s="8"/>
      <c r="I1495" s="8"/>
      <c r="J1495" s="11"/>
      <c r="K1495" s="39"/>
      <c r="L1495" s="40"/>
      <c r="M1495" s="28"/>
      <c r="N1495" s="10"/>
      <c r="O1495" s="15"/>
      <c r="P1495" s="16"/>
      <c r="Q1495" s="15"/>
      <c r="R1495" s="17"/>
    </row>
    <row r="1496">
      <c r="A1496" s="38"/>
      <c r="B1496" s="8"/>
      <c r="C1496" s="9"/>
      <c r="D1496" s="8"/>
      <c r="E1496" s="8"/>
      <c r="F1496" s="8"/>
      <c r="G1496" s="9"/>
      <c r="H1496" s="8"/>
      <c r="I1496" s="8"/>
      <c r="J1496" s="11"/>
      <c r="K1496" s="39"/>
      <c r="L1496" s="40"/>
      <c r="M1496" s="28"/>
      <c r="N1496" s="10"/>
      <c r="O1496" s="15"/>
      <c r="P1496" s="16"/>
      <c r="Q1496" s="15"/>
      <c r="R1496" s="17"/>
    </row>
    <row r="1497">
      <c r="A1497" s="38"/>
      <c r="B1497" s="8"/>
      <c r="C1497" s="9"/>
      <c r="D1497" s="8"/>
      <c r="E1497" s="8"/>
      <c r="F1497" s="8"/>
      <c r="G1497" s="9"/>
      <c r="H1497" s="8"/>
      <c r="I1497" s="8"/>
      <c r="J1497" s="11"/>
      <c r="K1497" s="39"/>
      <c r="L1497" s="40"/>
      <c r="M1497" s="28"/>
      <c r="N1497" s="10"/>
      <c r="O1497" s="15"/>
      <c r="P1497" s="16"/>
      <c r="Q1497" s="15"/>
      <c r="R1497" s="17"/>
    </row>
    <row r="1498">
      <c r="A1498" s="38"/>
      <c r="B1498" s="8"/>
      <c r="C1498" s="9"/>
      <c r="D1498" s="8"/>
      <c r="E1498" s="8"/>
      <c r="F1498" s="8"/>
      <c r="G1498" s="9"/>
      <c r="H1498" s="8"/>
      <c r="I1498" s="8"/>
      <c r="J1498" s="11"/>
      <c r="K1498" s="39"/>
      <c r="L1498" s="40"/>
      <c r="M1498" s="28"/>
      <c r="N1498" s="10"/>
      <c r="O1498" s="15"/>
      <c r="P1498" s="16"/>
      <c r="Q1498" s="15"/>
      <c r="R1498" s="17"/>
    </row>
    <row r="1499">
      <c r="A1499" s="38"/>
      <c r="B1499" s="8"/>
      <c r="C1499" s="9"/>
      <c r="D1499" s="8"/>
      <c r="E1499" s="8"/>
      <c r="F1499" s="8"/>
      <c r="G1499" s="9"/>
      <c r="H1499" s="8"/>
      <c r="I1499" s="8"/>
      <c r="J1499" s="11"/>
      <c r="K1499" s="39"/>
      <c r="L1499" s="40"/>
      <c r="M1499" s="28"/>
      <c r="N1499" s="10"/>
      <c r="O1499" s="15"/>
      <c r="P1499" s="16"/>
      <c r="Q1499" s="15"/>
      <c r="R1499" s="17"/>
    </row>
    <row r="1500">
      <c r="A1500" s="38"/>
      <c r="B1500" s="8"/>
      <c r="C1500" s="9"/>
      <c r="D1500" s="8"/>
      <c r="E1500" s="8"/>
      <c r="F1500" s="8"/>
      <c r="G1500" s="9"/>
      <c r="H1500" s="8"/>
      <c r="I1500" s="8"/>
      <c r="J1500" s="11"/>
      <c r="K1500" s="39"/>
      <c r="L1500" s="40"/>
      <c r="M1500" s="28"/>
      <c r="N1500" s="10"/>
      <c r="O1500" s="15"/>
      <c r="P1500" s="16"/>
      <c r="Q1500" s="15"/>
      <c r="R1500" s="17"/>
    </row>
    <row r="1501">
      <c r="A1501" s="38"/>
      <c r="B1501" s="8"/>
      <c r="C1501" s="9"/>
      <c r="D1501" s="8"/>
      <c r="E1501" s="8"/>
      <c r="F1501" s="8"/>
      <c r="G1501" s="9"/>
      <c r="H1501" s="8"/>
      <c r="I1501" s="8"/>
      <c r="J1501" s="11"/>
      <c r="K1501" s="39"/>
      <c r="L1501" s="40"/>
      <c r="M1501" s="28"/>
      <c r="N1501" s="10"/>
      <c r="O1501" s="15"/>
      <c r="P1501" s="16"/>
      <c r="Q1501" s="15"/>
      <c r="R1501" s="17"/>
    </row>
    <row r="1502">
      <c r="A1502" s="38"/>
      <c r="B1502" s="8"/>
      <c r="C1502" s="9"/>
      <c r="D1502" s="8"/>
      <c r="E1502" s="8"/>
      <c r="F1502" s="8"/>
      <c r="G1502" s="9"/>
      <c r="H1502" s="8"/>
      <c r="I1502" s="8"/>
      <c r="J1502" s="11"/>
      <c r="K1502" s="39"/>
      <c r="L1502" s="40"/>
      <c r="M1502" s="28"/>
      <c r="N1502" s="10"/>
      <c r="O1502" s="15"/>
      <c r="P1502" s="16"/>
      <c r="Q1502" s="15"/>
      <c r="R1502" s="17"/>
    </row>
    <row r="1503">
      <c r="A1503" s="38"/>
      <c r="B1503" s="8"/>
      <c r="C1503" s="9"/>
      <c r="D1503" s="8"/>
      <c r="E1503" s="8"/>
      <c r="F1503" s="8"/>
      <c r="G1503" s="9"/>
      <c r="H1503" s="8"/>
      <c r="I1503" s="8"/>
      <c r="J1503" s="11"/>
      <c r="K1503" s="39"/>
      <c r="L1503" s="40"/>
      <c r="M1503" s="28"/>
      <c r="N1503" s="10"/>
      <c r="O1503" s="15"/>
      <c r="P1503" s="16"/>
      <c r="Q1503" s="15"/>
      <c r="R1503" s="17"/>
    </row>
    <row r="1504">
      <c r="A1504" s="38"/>
      <c r="B1504" s="8"/>
      <c r="C1504" s="9"/>
      <c r="D1504" s="8"/>
      <c r="E1504" s="8"/>
      <c r="F1504" s="8"/>
      <c r="G1504" s="9"/>
      <c r="H1504" s="8"/>
      <c r="I1504" s="8"/>
      <c r="J1504" s="11"/>
      <c r="K1504" s="39"/>
      <c r="L1504" s="40"/>
      <c r="M1504" s="28"/>
      <c r="N1504" s="10"/>
      <c r="O1504" s="15"/>
      <c r="P1504" s="16"/>
      <c r="Q1504" s="15"/>
      <c r="R1504" s="17"/>
    </row>
    <row r="1505">
      <c r="A1505" s="38"/>
      <c r="B1505" s="8"/>
      <c r="C1505" s="9"/>
      <c r="D1505" s="8"/>
      <c r="E1505" s="8"/>
      <c r="F1505" s="8"/>
      <c r="G1505" s="9"/>
      <c r="H1505" s="8"/>
      <c r="I1505" s="8"/>
      <c r="J1505" s="11"/>
      <c r="K1505" s="39"/>
      <c r="L1505" s="40"/>
      <c r="M1505" s="28"/>
      <c r="N1505" s="10"/>
      <c r="O1505" s="15"/>
      <c r="P1505" s="16"/>
      <c r="Q1505" s="15"/>
      <c r="R1505" s="17"/>
    </row>
    <row r="1506">
      <c r="A1506" s="38"/>
      <c r="B1506" s="8"/>
      <c r="C1506" s="9"/>
      <c r="D1506" s="8"/>
      <c r="E1506" s="8"/>
      <c r="F1506" s="8"/>
      <c r="G1506" s="9"/>
      <c r="H1506" s="8"/>
      <c r="I1506" s="8"/>
      <c r="J1506" s="11"/>
      <c r="K1506" s="39"/>
      <c r="L1506" s="40"/>
      <c r="M1506" s="28"/>
      <c r="N1506" s="10"/>
      <c r="O1506" s="15"/>
      <c r="P1506" s="16"/>
      <c r="Q1506" s="15"/>
      <c r="R1506" s="17"/>
    </row>
    <row r="1507">
      <c r="A1507" s="38"/>
      <c r="B1507" s="8"/>
      <c r="C1507" s="9"/>
      <c r="D1507" s="8"/>
      <c r="E1507" s="8"/>
      <c r="F1507" s="8"/>
      <c r="G1507" s="9"/>
      <c r="H1507" s="8"/>
      <c r="I1507" s="8"/>
      <c r="J1507" s="11"/>
      <c r="K1507" s="39"/>
      <c r="L1507" s="40"/>
      <c r="M1507" s="28"/>
      <c r="N1507" s="10"/>
      <c r="O1507" s="15"/>
      <c r="P1507" s="16"/>
      <c r="Q1507" s="15"/>
      <c r="R1507" s="17"/>
    </row>
    <row r="1508">
      <c r="A1508" s="38"/>
      <c r="B1508" s="8"/>
      <c r="C1508" s="9"/>
      <c r="D1508" s="8"/>
      <c r="E1508" s="8"/>
      <c r="F1508" s="8"/>
      <c r="G1508" s="9"/>
      <c r="H1508" s="8"/>
      <c r="I1508" s="8"/>
      <c r="J1508" s="11"/>
      <c r="K1508" s="39"/>
      <c r="L1508" s="40"/>
      <c r="M1508" s="28"/>
      <c r="N1508" s="10"/>
      <c r="O1508" s="15"/>
      <c r="P1508" s="16"/>
      <c r="Q1508" s="15"/>
      <c r="R1508" s="17"/>
    </row>
    <row r="1509">
      <c r="A1509" s="38"/>
      <c r="B1509" s="8"/>
      <c r="C1509" s="9"/>
      <c r="D1509" s="8"/>
      <c r="E1509" s="8"/>
      <c r="F1509" s="8"/>
      <c r="G1509" s="9"/>
      <c r="H1509" s="8"/>
      <c r="I1509" s="8"/>
      <c r="J1509" s="11"/>
      <c r="K1509" s="39"/>
      <c r="L1509" s="40"/>
      <c r="M1509" s="28"/>
      <c r="N1509" s="10"/>
      <c r="O1509" s="15"/>
      <c r="P1509" s="16"/>
      <c r="Q1509" s="15"/>
      <c r="R1509" s="17"/>
    </row>
    <row r="1510">
      <c r="A1510" s="38"/>
      <c r="B1510" s="8"/>
      <c r="C1510" s="9"/>
      <c r="D1510" s="8"/>
      <c r="E1510" s="8"/>
      <c r="F1510" s="8"/>
      <c r="G1510" s="9"/>
      <c r="H1510" s="8"/>
      <c r="I1510" s="8"/>
      <c r="J1510" s="11"/>
      <c r="K1510" s="39"/>
      <c r="L1510" s="40"/>
      <c r="M1510" s="28"/>
      <c r="N1510" s="10"/>
      <c r="O1510" s="15"/>
      <c r="P1510" s="16"/>
      <c r="Q1510" s="15"/>
      <c r="R1510" s="17"/>
    </row>
    <row r="1511">
      <c r="A1511" s="38"/>
      <c r="B1511" s="8"/>
      <c r="C1511" s="9"/>
      <c r="D1511" s="8"/>
      <c r="E1511" s="8"/>
      <c r="F1511" s="8"/>
      <c r="G1511" s="9"/>
      <c r="H1511" s="8"/>
      <c r="I1511" s="8"/>
      <c r="J1511" s="11"/>
      <c r="K1511" s="39"/>
      <c r="L1511" s="40"/>
      <c r="M1511" s="28"/>
      <c r="N1511" s="10"/>
      <c r="O1511" s="15"/>
      <c r="P1511" s="16"/>
      <c r="Q1511" s="15"/>
      <c r="R1511" s="17"/>
    </row>
    <row r="1512">
      <c r="A1512" s="38"/>
      <c r="B1512" s="8"/>
      <c r="C1512" s="9"/>
      <c r="D1512" s="8"/>
      <c r="E1512" s="8"/>
      <c r="F1512" s="8"/>
      <c r="G1512" s="9"/>
      <c r="H1512" s="8"/>
      <c r="I1512" s="8"/>
      <c r="J1512" s="11"/>
      <c r="K1512" s="39"/>
      <c r="L1512" s="40"/>
      <c r="M1512" s="28"/>
      <c r="N1512" s="10"/>
      <c r="O1512" s="15"/>
      <c r="P1512" s="16"/>
      <c r="Q1512" s="15"/>
      <c r="R1512" s="17"/>
    </row>
    <row r="1513">
      <c r="A1513" s="38"/>
      <c r="B1513" s="8"/>
      <c r="C1513" s="9"/>
      <c r="D1513" s="8"/>
      <c r="E1513" s="8"/>
      <c r="F1513" s="8"/>
      <c r="G1513" s="9"/>
      <c r="H1513" s="8"/>
      <c r="I1513" s="8"/>
      <c r="J1513" s="11"/>
      <c r="K1513" s="39"/>
      <c r="L1513" s="40"/>
      <c r="M1513" s="28"/>
      <c r="N1513" s="10"/>
      <c r="O1513" s="15"/>
      <c r="P1513" s="16"/>
      <c r="Q1513" s="15"/>
      <c r="R1513" s="17"/>
    </row>
    <row r="1514">
      <c r="A1514" s="38"/>
      <c r="B1514" s="8"/>
      <c r="C1514" s="9"/>
      <c r="D1514" s="8"/>
      <c r="E1514" s="8"/>
      <c r="F1514" s="8"/>
      <c r="G1514" s="9"/>
      <c r="H1514" s="8"/>
      <c r="I1514" s="8"/>
      <c r="J1514" s="11"/>
      <c r="K1514" s="39"/>
      <c r="L1514" s="40"/>
      <c r="M1514" s="28"/>
      <c r="N1514" s="10"/>
      <c r="O1514" s="15"/>
      <c r="P1514" s="16"/>
      <c r="Q1514" s="15"/>
      <c r="R1514" s="17"/>
    </row>
    <row r="1515">
      <c r="A1515" s="38"/>
      <c r="B1515" s="8"/>
      <c r="C1515" s="9"/>
      <c r="D1515" s="8"/>
      <c r="E1515" s="8"/>
      <c r="F1515" s="8"/>
      <c r="G1515" s="9"/>
      <c r="H1515" s="8"/>
      <c r="I1515" s="8"/>
      <c r="J1515" s="11"/>
      <c r="K1515" s="39"/>
      <c r="L1515" s="40"/>
      <c r="M1515" s="28"/>
      <c r="N1515" s="10"/>
      <c r="O1515" s="15"/>
      <c r="P1515" s="16"/>
      <c r="Q1515" s="15"/>
      <c r="R1515" s="17"/>
    </row>
    <row r="1516">
      <c r="A1516" s="38"/>
      <c r="B1516" s="8"/>
      <c r="C1516" s="9"/>
      <c r="D1516" s="8"/>
      <c r="E1516" s="8"/>
      <c r="F1516" s="8"/>
      <c r="G1516" s="9"/>
      <c r="H1516" s="8"/>
      <c r="I1516" s="8"/>
      <c r="J1516" s="11"/>
      <c r="K1516" s="39"/>
      <c r="L1516" s="40"/>
      <c r="M1516" s="28"/>
      <c r="N1516" s="10"/>
      <c r="O1516" s="15"/>
      <c r="P1516" s="16"/>
      <c r="Q1516" s="15"/>
      <c r="R1516" s="17"/>
    </row>
    <row r="1517">
      <c r="A1517" s="38"/>
      <c r="B1517" s="8"/>
      <c r="C1517" s="9"/>
      <c r="D1517" s="8"/>
      <c r="E1517" s="8"/>
      <c r="F1517" s="8"/>
      <c r="G1517" s="9"/>
      <c r="H1517" s="8"/>
      <c r="I1517" s="8"/>
      <c r="J1517" s="11"/>
      <c r="K1517" s="39"/>
      <c r="L1517" s="40"/>
      <c r="M1517" s="28"/>
      <c r="N1517" s="10"/>
      <c r="O1517" s="15"/>
      <c r="P1517" s="16"/>
      <c r="Q1517" s="15"/>
      <c r="R1517" s="17"/>
    </row>
    <row r="1518">
      <c r="A1518" s="38"/>
      <c r="B1518" s="8"/>
      <c r="C1518" s="9"/>
      <c r="D1518" s="8"/>
      <c r="E1518" s="8"/>
      <c r="F1518" s="8"/>
      <c r="G1518" s="9"/>
      <c r="H1518" s="8"/>
      <c r="I1518" s="8"/>
      <c r="J1518" s="11"/>
      <c r="K1518" s="39"/>
      <c r="L1518" s="40"/>
      <c r="M1518" s="28"/>
      <c r="N1518" s="10"/>
      <c r="O1518" s="15"/>
      <c r="P1518" s="16"/>
      <c r="Q1518" s="15"/>
      <c r="R1518" s="17"/>
    </row>
    <row r="1519">
      <c r="A1519" s="38"/>
      <c r="B1519" s="8"/>
      <c r="C1519" s="9"/>
      <c r="D1519" s="8"/>
      <c r="E1519" s="8"/>
      <c r="F1519" s="8"/>
      <c r="G1519" s="9"/>
      <c r="H1519" s="8"/>
      <c r="I1519" s="8"/>
      <c r="J1519" s="11"/>
      <c r="K1519" s="39"/>
      <c r="L1519" s="40"/>
      <c r="M1519" s="28"/>
      <c r="N1519" s="10"/>
      <c r="O1519" s="15"/>
      <c r="P1519" s="16"/>
      <c r="Q1519" s="15"/>
      <c r="R1519" s="17"/>
    </row>
    <row r="1520">
      <c r="A1520" s="38"/>
      <c r="B1520" s="8"/>
      <c r="C1520" s="9"/>
      <c r="D1520" s="8"/>
      <c r="E1520" s="8"/>
      <c r="F1520" s="8"/>
      <c r="G1520" s="9"/>
      <c r="H1520" s="8"/>
      <c r="I1520" s="8"/>
      <c r="J1520" s="11"/>
      <c r="K1520" s="39"/>
      <c r="L1520" s="40"/>
      <c r="M1520" s="28"/>
      <c r="N1520" s="10"/>
      <c r="O1520" s="15"/>
      <c r="P1520" s="16"/>
      <c r="Q1520" s="15"/>
      <c r="R1520" s="17"/>
    </row>
    <row r="1521">
      <c r="A1521" s="38"/>
      <c r="B1521" s="8"/>
      <c r="C1521" s="9"/>
      <c r="D1521" s="8"/>
      <c r="E1521" s="8"/>
      <c r="F1521" s="8"/>
      <c r="G1521" s="9"/>
      <c r="H1521" s="8"/>
      <c r="I1521" s="8"/>
      <c r="J1521" s="11"/>
      <c r="K1521" s="39"/>
      <c r="L1521" s="40"/>
      <c r="M1521" s="28"/>
      <c r="N1521" s="10"/>
      <c r="O1521" s="15"/>
      <c r="P1521" s="16"/>
      <c r="Q1521" s="15"/>
      <c r="R1521" s="17"/>
    </row>
    <row r="1522">
      <c r="A1522" s="38"/>
      <c r="B1522" s="8"/>
      <c r="C1522" s="9"/>
      <c r="D1522" s="8"/>
      <c r="E1522" s="8"/>
      <c r="F1522" s="8"/>
      <c r="G1522" s="9"/>
      <c r="H1522" s="8"/>
      <c r="I1522" s="8"/>
      <c r="J1522" s="11"/>
      <c r="K1522" s="39"/>
      <c r="L1522" s="40"/>
      <c r="M1522" s="28"/>
      <c r="N1522" s="10"/>
      <c r="O1522" s="15"/>
      <c r="P1522" s="16"/>
      <c r="Q1522" s="15"/>
      <c r="R1522" s="17"/>
    </row>
    <row r="1523">
      <c r="A1523" s="38"/>
      <c r="B1523" s="8"/>
      <c r="C1523" s="9"/>
      <c r="D1523" s="8"/>
      <c r="E1523" s="8"/>
      <c r="F1523" s="8"/>
      <c r="G1523" s="9"/>
      <c r="H1523" s="8"/>
      <c r="I1523" s="8"/>
      <c r="J1523" s="11"/>
      <c r="K1523" s="39"/>
      <c r="L1523" s="40"/>
      <c r="M1523" s="28"/>
      <c r="N1523" s="10"/>
      <c r="O1523" s="15"/>
      <c r="P1523" s="16"/>
      <c r="Q1523" s="15"/>
      <c r="R1523" s="17"/>
    </row>
    <row r="1524">
      <c r="A1524" s="38"/>
      <c r="B1524" s="8"/>
      <c r="C1524" s="9"/>
      <c r="D1524" s="8"/>
      <c r="E1524" s="8"/>
      <c r="F1524" s="8"/>
      <c r="G1524" s="9"/>
      <c r="H1524" s="8"/>
      <c r="I1524" s="8"/>
      <c r="J1524" s="11"/>
      <c r="K1524" s="39"/>
      <c r="L1524" s="40"/>
      <c r="M1524" s="28"/>
      <c r="N1524" s="10"/>
      <c r="O1524" s="15"/>
      <c r="P1524" s="16"/>
      <c r="Q1524" s="15"/>
      <c r="R1524" s="17"/>
    </row>
    <row r="1525">
      <c r="A1525" s="38"/>
      <c r="B1525" s="8"/>
      <c r="C1525" s="9"/>
      <c r="D1525" s="8"/>
      <c r="E1525" s="8"/>
      <c r="F1525" s="8"/>
      <c r="G1525" s="9"/>
      <c r="H1525" s="8"/>
      <c r="I1525" s="8"/>
      <c r="J1525" s="11"/>
      <c r="K1525" s="39"/>
      <c r="L1525" s="40"/>
      <c r="M1525" s="28"/>
      <c r="N1525" s="10"/>
      <c r="O1525" s="15"/>
      <c r="P1525" s="16"/>
      <c r="Q1525" s="15"/>
      <c r="R1525" s="17"/>
    </row>
    <row r="1526">
      <c r="A1526" s="38"/>
      <c r="B1526" s="8"/>
      <c r="C1526" s="9"/>
      <c r="D1526" s="8"/>
      <c r="E1526" s="8"/>
      <c r="F1526" s="8"/>
      <c r="G1526" s="9"/>
      <c r="H1526" s="8"/>
      <c r="I1526" s="8"/>
      <c r="J1526" s="11"/>
      <c r="K1526" s="39"/>
      <c r="L1526" s="40"/>
      <c r="M1526" s="28"/>
      <c r="N1526" s="10"/>
      <c r="O1526" s="15"/>
      <c r="P1526" s="16"/>
      <c r="Q1526" s="15"/>
      <c r="R1526" s="17"/>
    </row>
    <row r="1527">
      <c r="A1527" s="38"/>
      <c r="B1527" s="8"/>
      <c r="C1527" s="9"/>
      <c r="D1527" s="8"/>
      <c r="E1527" s="8"/>
      <c r="F1527" s="8"/>
      <c r="G1527" s="9"/>
      <c r="H1527" s="8"/>
      <c r="I1527" s="8"/>
      <c r="J1527" s="11"/>
      <c r="K1527" s="39"/>
      <c r="L1527" s="40"/>
      <c r="M1527" s="28"/>
      <c r="N1527" s="10"/>
      <c r="O1527" s="15"/>
      <c r="P1527" s="16"/>
      <c r="Q1527" s="15"/>
      <c r="R1527" s="17"/>
    </row>
    <row r="1528">
      <c r="A1528" s="38"/>
      <c r="B1528" s="8"/>
      <c r="C1528" s="9"/>
      <c r="D1528" s="8"/>
      <c r="E1528" s="8"/>
      <c r="F1528" s="8"/>
      <c r="G1528" s="9"/>
      <c r="H1528" s="8"/>
      <c r="I1528" s="8"/>
      <c r="J1528" s="11"/>
      <c r="K1528" s="39"/>
      <c r="L1528" s="40"/>
      <c r="M1528" s="28"/>
      <c r="N1528" s="10"/>
      <c r="O1528" s="15"/>
      <c r="P1528" s="16"/>
      <c r="Q1528" s="15"/>
      <c r="R1528" s="17"/>
    </row>
    <row r="1529">
      <c r="A1529" s="38"/>
      <c r="B1529" s="8"/>
      <c r="C1529" s="9"/>
      <c r="D1529" s="8"/>
      <c r="E1529" s="8"/>
      <c r="F1529" s="8"/>
      <c r="G1529" s="9"/>
      <c r="H1529" s="8"/>
      <c r="I1529" s="8"/>
      <c r="J1529" s="11"/>
      <c r="K1529" s="39"/>
      <c r="L1529" s="40"/>
      <c r="M1529" s="28"/>
      <c r="N1529" s="10"/>
      <c r="O1529" s="15"/>
      <c r="P1529" s="16"/>
      <c r="Q1529" s="15"/>
      <c r="R1529" s="17"/>
    </row>
    <row r="1530">
      <c r="A1530" s="38"/>
      <c r="B1530" s="8"/>
      <c r="C1530" s="9"/>
      <c r="D1530" s="8"/>
      <c r="E1530" s="8"/>
      <c r="F1530" s="8"/>
      <c r="G1530" s="9"/>
      <c r="H1530" s="8"/>
      <c r="I1530" s="8"/>
      <c r="J1530" s="11"/>
      <c r="K1530" s="39"/>
      <c r="L1530" s="40"/>
      <c r="M1530" s="28"/>
      <c r="N1530" s="10"/>
      <c r="O1530" s="15"/>
      <c r="P1530" s="16"/>
      <c r="Q1530" s="15"/>
      <c r="R1530" s="17"/>
    </row>
    <row r="1531">
      <c r="A1531" s="38"/>
      <c r="B1531" s="8"/>
      <c r="C1531" s="9"/>
      <c r="D1531" s="8"/>
      <c r="E1531" s="8"/>
      <c r="F1531" s="8"/>
      <c r="G1531" s="9"/>
      <c r="H1531" s="8"/>
      <c r="I1531" s="8"/>
      <c r="J1531" s="11"/>
      <c r="K1531" s="39"/>
      <c r="L1531" s="40"/>
      <c r="M1531" s="28"/>
      <c r="N1531" s="10"/>
      <c r="O1531" s="15"/>
      <c r="P1531" s="16"/>
      <c r="Q1531" s="15"/>
      <c r="R1531" s="17"/>
    </row>
    <row r="1532">
      <c r="A1532" s="38"/>
      <c r="B1532" s="8"/>
      <c r="C1532" s="9"/>
      <c r="D1532" s="8"/>
      <c r="E1532" s="8"/>
      <c r="F1532" s="8"/>
      <c r="G1532" s="9"/>
      <c r="H1532" s="8"/>
      <c r="I1532" s="8"/>
      <c r="J1532" s="11"/>
      <c r="K1532" s="39"/>
      <c r="L1532" s="40"/>
      <c r="M1532" s="28"/>
      <c r="N1532" s="10"/>
      <c r="O1532" s="15"/>
      <c r="P1532" s="16"/>
      <c r="Q1532" s="15"/>
      <c r="R1532" s="17"/>
    </row>
    <row r="1533">
      <c r="A1533" s="38"/>
      <c r="B1533" s="8"/>
      <c r="C1533" s="9"/>
      <c r="D1533" s="8"/>
      <c r="E1533" s="8"/>
      <c r="F1533" s="8"/>
      <c r="G1533" s="9"/>
      <c r="H1533" s="8"/>
      <c r="I1533" s="8"/>
      <c r="J1533" s="11"/>
      <c r="K1533" s="39"/>
      <c r="L1533" s="40"/>
      <c r="M1533" s="28"/>
      <c r="N1533" s="10"/>
      <c r="O1533" s="15"/>
      <c r="P1533" s="16"/>
      <c r="Q1533" s="15"/>
      <c r="R1533" s="17"/>
    </row>
    <row r="1534">
      <c r="A1534" s="38"/>
      <c r="B1534" s="8"/>
      <c r="C1534" s="9"/>
      <c r="D1534" s="8"/>
      <c r="E1534" s="8"/>
      <c r="F1534" s="8"/>
      <c r="G1534" s="9"/>
      <c r="H1534" s="8"/>
      <c r="I1534" s="8"/>
      <c r="J1534" s="11"/>
      <c r="K1534" s="39"/>
      <c r="L1534" s="40"/>
      <c r="M1534" s="28"/>
      <c r="N1534" s="10"/>
      <c r="O1534" s="15"/>
      <c r="P1534" s="16"/>
      <c r="Q1534" s="15"/>
      <c r="R1534" s="17"/>
    </row>
    <row r="1535">
      <c r="A1535" s="38"/>
      <c r="B1535" s="8"/>
      <c r="C1535" s="9"/>
      <c r="D1535" s="8"/>
      <c r="E1535" s="8"/>
      <c r="F1535" s="8"/>
      <c r="G1535" s="9"/>
      <c r="H1535" s="8"/>
      <c r="I1535" s="8"/>
      <c r="J1535" s="11"/>
      <c r="K1535" s="39"/>
      <c r="L1535" s="40"/>
      <c r="M1535" s="28"/>
      <c r="N1535" s="10"/>
      <c r="O1535" s="15"/>
      <c r="P1535" s="16"/>
      <c r="Q1535" s="15"/>
      <c r="R1535" s="17"/>
    </row>
    <row r="1536">
      <c r="A1536" s="38"/>
      <c r="B1536" s="8"/>
      <c r="C1536" s="9"/>
      <c r="D1536" s="8"/>
      <c r="E1536" s="8"/>
      <c r="F1536" s="8"/>
      <c r="G1536" s="9"/>
      <c r="H1536" s="8"/>
      <c r="I1536" s="8"/>
      <c r="J1536" s="11"/>
      <c r="K1536" s="39"/>
      <c r="L1536" s="40"/>
      <c r="M1536" s="28"/>
      <c r="N1536" s="10"/>
      <c r="O1536" s="15"/>
      <c r="P1536" s="16"/>
      <c r="Q1536" s="15"/>
      <c r="R1536" s="17"/>
    </row>
    <row r="1537">
      <c r="A1537" s="38"/>
      <c r="B1537" s="8"/>
      <c r="C1537" s="9"/>
      <c r="D1537" s="8"/>
      <c r="E1537" s="8"/>
      <c r="F1537" s="8"/>
      <c r="G1537" s="9"/>
      <c r="H1537" s="8"/>
      <c r="I1537" s="8"/>
      <c r="J1537" s="11"/>
      <c r="K1537" s="39"/>
      <c r="L1537" s="40"/>
      <c r="M1537" s="28"/>
      <c r="N1537" s="10"/>
      <c r="O1537" s="15"/>
      <c r="P1537" s="16"/>
      <c r="Q1537" s="15"/>
      <c r="R1537" s="17"/>
    </row>
    <row r="1538">
      <c r="A1538" s="38"/>
      <c r="B1538" s="8"/>
      <c r="C1538" s="9"/>
      <c r="D1538" s="8"/>
      <c r="E1538" s="8"/>
      <c r="F1538" s="8"/>
      <c r="G1538" s="9"/>
      <c r="H1538" s="8"/>
      <c r="I1538" s="8"/>
      <c r="J1538" s="11"/>
      <c r="K1538" s="39"/>
      <c r="L1538" s="40"/>
      <c r="M1538" s="28"/>
      <c r="N1538" s="10"/>
      <c r="O1538" s="15"/>
      <c r="P1538" s="16"/>
      <c r="Q1538" s="15"/>
      <c r="R1538" s="17"/>
    </row>
    <row r="1539">
      <c r="A1539" s="38"/>
      <c r="B1539" s="8"/>
      <c r="C1539" s="9"/>
      <c r="D1539" s="8"/>
      <c r="E1539" s="8"/>
      <c r="F1539" s="8"/>
      <c r="G1539" s="9"/>
      <c r="H1539" s="8"/>
      <c r="I1539" s="8"/>
      <c r="J1539" s="11"/>
      <c r="K1539" s="39"/>
      <c r="L1539" s="40"/>
      <c r="M1539" s="28"/>
      <c r="N1539" s="10"/>
      <c r="O1539" s="15"/>
      <c r="P1539" s="16"/>
      <c r="Q1539" s="15"/>
      <c r="R1539" s="17"/>
    </row>
    <row r="1540">
      <c r="A1540" s="38"/>
      <c r="B1540" s="8"/>
      <c r="C1540" s="9"/>
      <c r="D1540" s="8"/>
      <c r="E1540" s="8"/>
      <c r="F1540" s="8"/>
      <c r="G1540" s="9"/>
      <c r="H1540" s="8"/>
      <c r="I1540" s="8"/>
      <c r="J1540" s="11"/>
      <c r="K1540" s="39"/>
      <c r="L1540" s="40"/>
      <c r="M1540" s="28"/>
      <c r="N1540" s="10"/>
      <c r="O1540" s="15"/>
      <c r="P1540" s="16"/>
      <c r="Q1540" s="15"/>
      <c r="R1540" s="17"/>
    </row>
    <row r="1541">
      <c r="A1541" s="38"/>
      <c r="B1541" s="8"/>
      <c r="C1541" s="9"/>
      <c r="D1541" s="8"/>
      <c r="E1541" s="8"/>
      <c r="F1541" s="8"/>
      <c r="G1541" s="9"/>
      <c r="H1541" s="8"/>
      <c r="I1541" s="8"/>
      <c r="J1541" s="11"/>
      <c r="K1541" s="39"/>
      <c r="L1541" s="40"/>
      <c r="M1541" s="28"/>
      <c r="N1541" s="10"/>
      <c r="O1541" s="15"/>
      <c r="P1541" s="16"/>
      <c r="Q1541" s="15"/>
      <c r="R1541" s="17"/>
    </row>
    <row r="1542">
      <c r="A1542" s="38"/>
      <c r="B1542" s="8"/>
      <c r="C1542" s="9"/>
      <c r="D1542" s="8"/>
      <c r="E1542" s="8"/>
      <c r="F1542" s="8"/>
      <c r="G1542" s="9"/>
      <c r="H1542" s="8"/>
      <c r="I1542" s="8"/>
      <c r="J1542" s="11"/>
      <c r="K1542" s="39"/>
      <c r="L1542" s="40"/>
      <c r="M1542" s="28"/>
      <c r="N1542" s="10"/>
      <c r="O1542" s="15"/>
      <c r="P1542" s="16"/>
      <c r="Q1542" s="15"/>
      <c r="R1542" s="17"/>
    </row>
    <row r="1543">
      <c r="A1543" s="38"/>
      <c r="B1543" s="8"/>
      <c r="C1543" s="9"/>
      <c r="D1543" s="8"/>
      <c r="E1543" s="8"/>
      <c r="F1543" s="8"/>
      <c r="G1543" s="9"/>
      <c r="H1543" s="8"/>
      <c r="I1543" s="8"/>
      <c r="J1543" s="11"/>
      <c r="K1543" s="39"/>
      <c r="L1543" s="40"/>
      <c r="M1543" s="28"/>
      <c r="N1543" s="10"/>
      <c r="O1543" s="15"/>
      <c r="P1543" s="16"/>
      <c r="Q1543" s="15"/>
      <c r="R1543" s="17"/>
    </row>
    <row r="1544">
      <c r="A1544" s="38"/>
      <c r="B1544" s="8"/>
      <c r="C1544" s="9"/>
      <c r="D1544" s="8"/>
      <c r="E1544" s="8"/>
      <c r="F1544" s="8"/>
      <c r="G1544" s="9"/>
      <c r="H1544" s="8"/>
      <c r="I1544" s="8"/>
      <c r="J1544" s="11"/>
      <c r="K1544" s="39"/>
      <c r="L1544" s="40"/>
      <c r="M1544" s="28"/>
      <c r="N1544" s="10"/>
      <c r="O1544" s="15"/>
      <c r="P1544" s="16"/>
      <c r="Q1544" s="15"/>
      <c r="R1544" s="17"/>
    </row>
    <row r="1545">
      <c r="A1545" s="38"/>
      <c r="B1545" s="8"/>
      <c r="C1545" s="9"/>
      <c r="D1545" s="8"/>
      <c r="E1545" s="8"/>
      <c r="F1545" s="8"/>
      <c r="G1545" s="9"/>
      <c r="H1545" s="8"/>
      <c r="I1545" s="8"/>
      <c r="J1545" s="11"/>
      <c r="K1545" s="39"/>
      <c r="L1545" s="40"/>
      <c r="M1545" s="28"/>
      <c r="N1545" s="10"/>
      <c r="O1545" s="15"/>
      <c r="P1545" s="16"/>
      <c r="Q1545" s="15"/>
      <c r="R1545" s="17"/>
    </row>
    <row r="1546">
      <c r="A1546" s="38"/>
      <c r="B1546" s="8"/>
      <c r="C1546" s="9"/>
      <c r="D1546" s="8"/>
      <c r="E1546" s="8"/>
      <c r="F1546" s="8"/>
      <c r="G1546" s="9"/>
      <c r="H1546" s="8"/>
      <c r="I1546" s="8"/>
      <c r="J1546" s="11"/>
      <c r="K1546" s="39"/>
      <c r="L1546" s="40"/>
      <c r="M1546" s="28"/>
      <c r="N1546" s="10"/>
      <c r="O1546" s="15"/>
      <c r="P1546" s="16"/>
      <c r="Q1546" s="15"/>
      <c r="R1546" s="17"/>
    </row>
    <row r="1547">
      <c r="A1547" s="38"/>
      <c r="B1547" s="8"/>
      <c r="C1547" s="9"/>
      <c r="D1547" s="8"/>
      <c r="E1547" s="8"/>
      <c r="F1547" s="8"/>
      <c r="G1547" s="9"/>
      <c r="H1547" s="8"/>
      <c r="I1547" s="8"/>
      <c r="J1547" s="11"/>
      <c r="K1547" s="39"/>
      <c r="L1547" s="40"/>
      <c r="M1547" s="28"/>
      <c r="N1547" s="10"/>
      <c r="O1547" s="15"/>
      <c r="P1547" s="16"/>
      <c r="Q1547" s="15"/>
      <c r="R1547" s="17"/>
    </row>
    <row r="1548">
      <c r="A1548" s="38"/>
      <c r="B1548" s="8"/>
      <c r="C1548" s="9"/>
      <c r="D1548" s="8"/>
      <c r="E1548" s="8"/>
      <c r="F1548" s="8"/>
      <c r="G1548" s="9"/>
      <c r="H1548" s="8"/>
      <c r="I1548" s="8"/>
      <c r="J1548" s="11"/>
      <c r="K1548" s="39"/>
      <c r="L1548" s="40"/>
      <c r="M1548" s="28"/>
      <c r="N1548" s="10"/>
      <c r="O1548" s="15"/>
      <c r="P1548" s="16"/>
      <c r="Q1548" s="15"/>
      <c r="R1548" s="17"/>
    </row>
    <row r="1549">
      <c r="A1549" s="38"/>
      <c r="B1549" s="8"/>
      <c r="C1549" s="9"/>
      <c r="D1549" s="8"/>
      <c r="E1549" s="8"/>
      <c r="F1549" s="8"/>
      <c r="G1549" s="9"/>
      <c r="H1549" s="8"/>
      <c r="I1549" s="8"/>
      <c r="J1549" s="11"/>
      <c r="K1549" s="39"/>
      <c r="L1549" s="40"/>
      <c r="M1549" s="28"/>
      <c r="N1549" s="10"/>
      <c r="O1549" s="15"/>
      <c r="P1549" s="16"/>
      <c r="Q1549" s="15"/>
      <c r="R1549" s="17"/>
    </row>
    <row r="1550">
      <c r="A1550" s="38"/>
      <c r="B1550" s="8"/>
      <c r="C1550" s="9"/>
      <c r="D1550" s="8"/>
      <c r="E1550" s="8"/>
      <c r="F1550" s="8"/>
      <c r="G1550" s="9"/>
      <c r="H1550" s="8"/>
      <c r="I1550" s="8"/>
      <c r="J1550" s="11"/>
      <c r="K1550" s="39"/>
      <c r="L1550" s="40"/>
      <c r="M1550" s="28"/>
      <c r="N1550" s="10"/>
      <c r="O1550" s="15"/>
      <c r="P1550" s="16"/>
      <c r="Q1550" s="15"/>
      <c r="R1550" s="17"/>
    </row>
    <row r="1551">
      <c r="A1551" s="38"/>
      <c r="B1551" s="8"/>
      <c r="C1551" s="9"/>
      <c r="D1551" s="8"/>
      <c r="E1551" s="8"/>
      <c r="F1551" s="8"/>
      <c r="G1551" s="9"/>
      <c r="H1551" s="8"/>
      <c r="I1551" s="8"/>
      <c r="J1551" s="11"/>
      <c r="K1551" s="39"/>
      <c r="L1551" s="40"/>
      <c r="M1551" s="28"/>
      <c r="N1551" s="10"/>
      <c r="O1551" s="15"/>
      <c r="P1551" s="16"/>
      <c r="Q1551" s="15"/>
      <c r="R1551" s="17"/>
    </row>
    <row r="1552">
      <c r="A1552" s="38"/>
      <c r="B1552" s="8"/>
      <c r="C1552" s="9"/>
      <c r="D1552" s="8"/>
      <c r="E1552" s="8"/>
      <c r="F1552" s="8"/>
      <c r="G1552" s="9"/>
      <c r="H1552" s="8"/>
      <c r="I1552" s="8"/>
      <c r="J1552" s="11"/>
      <c r="K1552" s="39"/>
      <c r="L1552" s="40"/>
      <c r="M1552" s="28"/>
      <c r="N1552" s="10"/>
      <c r="O1552" s="15"/>
      <c r="P1552" s="16"/>
      <c r="Q1552" s="15"/>
      <c r="R1552" s="17"/>
    </row>
    <row r="1553">
      <c r="A1553" s="38"/>
      <c r="B1553" s="8"/>
      <c r="C1553" s="9"/>
      <c r="D1553" s="8"/>
      <c r="E1553" s="8"/>
      <c r="F1553" s="8"/>
      <c r="G1553" s="9"/>
      <c r="H1553" s="8"/>
      <c r="I1553" s="8"/>
      <c r="J1553" s="11"/>
      <c r="K1553" s="39"/>
      <c r="L1553" s="40"/>
      <c r="M1553" s="28"/>
      <c r="N1553" s="10"/>
      <c r="O1553" s="15"/>
      <c r="P1553" s="16"/>
      <c r="Q1553" s="15"/>
      <c r="R1553" s="17"/>
    </row>
    <row r="1554">
      <c r="A1554" s="38"/>
      <c r="B1554" s="8"/>
      <c r="C1554" s="9"/>
      <c r="D1554" s="8"/>
      <c r="E1554" s="8"/>
      <c r="F1554" s="8"/>
      <c r="G1554" s="9"/>
      <c r="H1554" s="8"/>
      <c r="I1554" s="8"/>
      <c r="J1554" s="11"/>
      <c r="K1554" s="39"/>
      <c r="L1554" s="40"/>
      <c r="M1554" s="28"/>
      <c r="N1554" s="10"/>
      <c r="O1554" s="15"/>
      <c r="P1554" s="16"/>
      <c r="Q1554" s="15"/>
      <c r="R1554" s="17"/>
    </row>
    <row r="1555">
      <c r="A1555" s="38"/>
      <c r="B1555" s="8"/>
      <c r="C1555" s="9"/>
      <c r="D1555" s="8"/>
      <c r="E1555" s="8"/>
      <c r="F1555" s="8"/>
      <c r="G1555" s="9"/>
      <c r="H1555" s="8"/>
      <c r="I1555" s="8"/>
      <c r="J1555" s="11"/>
      <c r="K1555" s="39"/>
      <c r="L1555" s="40"/>
      <c r="M1555" s="28"/>
      <c r="N1555" s="10"/>
      <c r="O1555" s="15"/>
      <c r="P1555" s="16"/>
      <c r="Q1555" s="15"/>
      <c r="R1555" s="17"/>
    </row>
    <row r="1556">
      <c r="A1556" s="38"/>
      <c r="B1556" s="8"/>
      <c r="C1556" s="9"/>
      <c r="D1556" s="8"/>
      <c r="E1556" s="8"/>
      <c r="F1556" s="8"/>
      <c r="G1556" s="9"/>
      <c r="H1556" s="8"/>
      <c r="I1556" s="8"/>
      <c r="J1556" s="11"/>
      <c r="K1556" s="39"/>
      <c r="L1556" s="40"/>
      <c r="M1556" s="28"/>
      <c r="N1556" s="10"/>
      <c r="O1556" s="15"/>
      <c r="P1556" s="16"/>
      <c r="Q1556" s="15"/>
      <c r="R1556" s="17"/>
    </row>
    <row r="1557">
      <c r="A1557" s="38"/>
      <c r="B1557" s="8"/>
      <c r="C1557" s="9"/>
      <c r="D1557" s="8"/>
      <c r="E1557" s="8"/>
      <c r="F1557" s="8"/>
      <c r="G1557" s="9"/>
      <c r="H1557" s="8"/>
      <c r="I1557" s="8"/>
      <c r="J1557" s="11"/>
      <c r="K1557" s="39"/>
      <c r="L1557" s="40"/>
      <c r="M1557" s="28"/>
      <c r="N1557" s="10"/>
      <c r="O1557" s="15"/>
      <c r="P1557" s="16"/>
      <c r="Q1557" s="15"/>
      <c r="R1557" s="17"/>
    </row>
    <row r="1558">
      <c r="A1558" s="38"/>
      <c r="B1558" s="8"/>
      <c r="C1558" s="9"/>
      <c r="D1558" s="8"/>
      <c r="E1558" s="8"/>
      <c r="F1558" s="8"/>
      <c r="G1558" s="9"/>
      <c r="H1558" s="8"/>
      <c r="I1558" s="8"/>
      <c r="J1558" s="11"/>
      <c r="K1558" s="39"/>
      <c r="L1558" s="40"/>
      <c r="M1558" s="28"/>
      <c r="N1558" s="10"/>
      <c r="O1558" s="15"/>
      <c r="P1558" s="16"/>
      <c r="Q1558" s="15"/>
      <c r="R1558" s="17"/>
    </row>
    <row r="1559">
      <c r="A1559" s="38"/>
      <c r="B1559" s="8"/>
      <c r="C1559" s="9"/>
      <c r="D1559" s="8"/>
      <c r="E1559" s="8"/>
      <c r="F1559" s="8"/>
      <c r="G1559" s="9"/>
      <c r="H1559" s="8"/>
      <c r="I1559" s="8"/>
      <c r="J1559" s="11"/>
      <c r="K1559" s="39"/>
      <c r="L1559" s="40"/>
      <c r="M1559" s="28"/>
      <c r="N1559" s="10"/>
      <c r="O1559" s="15"/>
      <c r="P1559" s="16"/>
      <c r="Q1559" s="15"/>
      <c r="R1559" s="17"/>
    </row>
    <row r="1560">
      <c r="A1560" s="38"/>
      <c r="B1560" s="8"/>
      <c r="C1560" s="9"/>
      <c r="D1560" s="8"/>
      <c r="E1560" s="8"/>
      <c r="F1560" s="8"/>
      <c r="G1560" s="9"/>
      <c r="H1560" s="8"/>
      <c r="I1560" s="8"/>
      <c r="J1560" s="11"/>
      <c r="K1560" s="39"/>
      <c r="L1560" s="40"/>
      <c r="M1560" s="28"/>
      <c r="N1560" s="10"/>
      <c r="O1560" s="15"/>
      <c r="P1560" s="16"/>
      <c r="Q1560" s="15"/>
      <c r="R1560" s="17"/>
    </row>
    <row r="1561">
      <c r="A1561" s="38"/>
      <c r="B1561" s="8"/>
      <c r="C1561" s="9"/>
      <c r="D1561" s="8"/>
      <c r="E1561" s="8"/>
      <c r="F1561" s="8"/>
      <c r="G1561" s="9"/>
      <c r="H1561" s="8"/>
      <c r="I1561" s="8"/>
      <c r="J1561" s="11"/>
      <c r="K1561" s="39"/>
      <c r="L1561" s="40"/>
      <c r="M1561" s="28"/>
      <c r="N1561" s="10"/>
      <c r="O1561" s="15"/>
      <c r="P1561" s="16"/>
      <c r="Q1561" s="15"/>
      <c r="R1561" s="17"/>
    </row>
    <row r="1562">
      <c r="A1562" s="38"/>
      <c r="B1562" s="8"/>
      <c r="C1562" s="9"/>
      <c r="D1562" s="8"/>
      <c r="E1562" s="8"/>
      <c r="F1562" s="8"/>
      <c r="G1562" s="9"/>
      <c r="H1562" s="8"/>
      <c r="I1562" s="8"/>
      <c r="J1562" s="11"/>
      <c r="K1562" s="39"/>
      <c r="L1562" s="40"/>
      <c r="M1562" s="28"/>
      <c r="N1562" s="10"/>
      <c r="O1562" s="15"/>
      <c r="P1562" s="16"/>
      <c r="Q1562" s="15"/>
      <c r="R1562" s="17"/>
    </row>
    <row r="1563">
      <c r="A1563" s="38"/>
      <c r="B1563" s="8"/>
      <c r="C1563" s="9"/>
      <c r="D1563" s="8"/>
      <c r="E1563" s="8"/>
      <c r="F1563" s="8"/>
      <c r="G1563" s="9"/>
      <c r="H1563" s="8"/>
      <c r="I1563" s="8"/>
      <c r="J1563" s="11"/>
      <c r="K1563" s="39"/>
      <c r="L1563" s="40"/>
      <c r="M1563" s="28"/>
      <c r="N1563" s="10"/>
      <c r="O1563" s="15"/>
      <c r="P1563" s="16"/>
      <c r="Q1563" s="15"/>
      <c r="R1563" s="17"/>
    </row>
    <row r="1564">
      <c r="A1564" s="38"/>
      <c r="B1564" s="8"/>
      <c r="C1564" s="9"/>
      <c r="D1564" s="8"/>
      <c r="E1564" s="8"/>
      <c r="F1564" s="8"/>
      <c r="G1564" s="9"/>
      <c r="H1564" s="8"/>
      <c r="I1564" s="8"/>
      <c r="J1564" s="11"/>
      <c r="K1564" s="39"/>
      <c r="L1564" s="40"/>
      <c r="M1564" s="28"/>
      <c r="N1564" s="10"/>
      <c r="O1564" s="15"/>
      <c r="P1564" s="16"/>
      <c r="Q1564" s="15"/>
      <c r="R1564" s="17"/>
    </row>
    <row r="1565">
      <c r="A1565" s="38"/>
      <c r="B1565" s="8"/>
      <c r="C1565" s="9"/>
      <c r="D1565" s="8"/>
      <c r="E1565" s="8"/>
      <c r="F1565" s="8"/>
      <c r="G1565" s="9"/>
      <c r="H1565" s="8"/>
      <c r="I1565" s="8"/>
      <c r="J1565" s="11"/>
      <c r="K1565" s="39"/>
      <c r="L1565" s="40"/>
      <c r="M1565" s="28"/>
      <c r="N1565" s="10"/>
      <c r="O1565" s="15"/>
      <c r="P1565" s="16"/>
      <c r="Q1565" s="15"/>
      <c r="R1565" s="17"/>
    </row>
    <row r="1566">
      <c r="A1566" s="38"/>
      <c r="B1566" s="8"/>
      <c r="C1566" s="9"/>
      <c r="D1566" s="8"/>
      <c r="E1566" s="8"/>
      <c r="F1566" s="8"/>
      <c r="G1566" s="9"/>
      <c r="H1566" s="8"/>
      <c r="I1566" s="8"/>
      <c r="J1566" s="11"/>
      <c r="K1566" s="39"/>
      <c r="L1566" s="40"/>
      <c r="M1566" s="28"/>
      <c r="N1566" s="10"/>
      <c r="O1566" s="15"/>
      <c r="P1566" s="16"/>
      <c r="Q1566" s="15"/>
      <c r="R1566" s="17"/>
    </row>
    <row r="1567">
      <c r="A1567" s="38"/>
      <c r="B1567" s="8"/>
      <c r="C1567" s="9"/>
      <c r="D1567" s="8"/>
      <c r="E1567" s="8"/>
      <c r="F1567" s="8"/>
      <c r="G1567" s="9"/>
      <c r="H1567" s="8"/>
      <c r="I1567" s="8"/>
      <c r="J1567" s="11"/>
      <c r="K1567" s="39"/>
      <c r="L1567" s="40"/>
      <c r="M1567" s="28"/>
      <c r="N1567" s="10"/>
      <c r="O1567" s="15"/>
      <c r="P1567" s="16"/>
      <c r="Q1567" s="15"/>
      <c r="R1567" s="17"/>
    </row>
    <row r="1568">
      <c r="A1568" s="38"/>
      <c r="B1568" s="8"/>
      <c r="C1568" s="9"/>
      <c r="D1568" s="8"/>
      <c r="E1568" s="8"/>
      <c r="F1568" s="8"/>
      <c r="G1568" s="9"/>
      <c r="H1568" s="8"/>
      <c r="I1568" s="8"/>
      <c r="J1568" s="11"/>
      <c r="K1568" s="39"/>
      <c r="L1568" s="40"/>
      <c r="M1568" s="28"/>
      <c r="N1568" s="10"/>
      <c r="O1568" s="15"/>
      <c r="P1568" s="16"/>
      <c r="Q1568" s="15"/>
      <c r="R1568" s="17"/>
    </row>
    <row r="1569">
      <c r="A1569" s="38"/>
      <c r="B1569" s="8"/>
      <c r="C1569" s="9"/>
      <c r="D1569" s="8"/>
      <c r="E1569" s="8"/>
      <c r="F1569" s="8"/>
      <c r="G1569" s="9"/>
      <c r="H1569" s="8"/>
      <c r="I1569" s="8"/>
      <c r="J1569" s="11"/>
      <c r="K1569" s="39"/>
      <c r="L1569" s="40"/>
      <c r="M1569" s="28"/>
      <c r="N1569" s="10"/>
      <c r="O1569" s="15"/>
      <c r="P1569" s="16"/>
      <c r="Q1569" s="15"/>
      <c r="R1569" s="17"/>
    </row>
    <row r="1570">
      <c r="A1570" s="38"/>
      <c r="B1570" s="8"/>
      <c r="C1570" s="9"/>
      <c r="D1570" s="8"/>
      <c r="E1570" s="8"/>
      <c r="F1570" s="8"/>
      <c r="G1570" s="9"/>
      <c r="H1570" s="8"/>
      <c r="I1570" s="8"/>
      <c r="J1570" s="11"/>
      <c r="K1570" s="39"/>
      <c r="L1570" s="40"/>
      <c r="M1570" s="28"/>
      <c r="N1570" s="10"/>
      <c r="O1570" s="15"/>
      <c r="P1570" s="16"/>
      <c r="Q1570" s="15"/>
      <c r="R1570" s="17"/>
    </row>
    <row r="1571">
      <c r="A1571" s="38"/>
      <c r="B1571" s="8"/>
      <c r="C1571" s="9"/>
      <c r="D1571" s="8"/>
      <c r="E1571" s="8"/>
      <c r="F1571" s="8"/>
      <c r="G1571" s="9"/>
      <c r="H1571" s="8"/>
      <c r="I1571" s="8"/>
      <c r="J1571" s="11"/>
      <c r="K1571" s="39"/>
      <c r="L1571" s="40"/>
      <c r="M1571" s="28"/>
      <c r="N1571" s="10"/>
      <c r="O1571" s="15"/>
      <c r="P1571" s="16"/>
      <c r="Q1571" s="15"/>
      <c r="R1571" s="17"/>
    </row>
    <row r="1572">
      <c r="A1572" s="38"/>
      <c r="B1572" s="8"/>
      <c r="C1572" s="9"/>
      <c r="D1572" s="8"/>
      <c r="E1572" s="8"/>
      <c r="F1572" s="8"/>
      <c r="G1572" s="9"/>
      <c r="H1572" s="8"/>
      <c r="I1572" s="8"/>
      <c r="J1572" s="11"/>
      <c r="K1572" s="39"/>
      <c r="L1572" s="40"/>
      <c r="M1572" s="28"/>
      <c r="N1572" s="10"/>
      <c r="O1572" s="15"/>
      <c r="P1572" s="16"/>
      <c r="Q1572" s="15"/>
      <c r="R1572" s="17"/>
    </row>
    <row r="1573">
      <c r="A1573" s="38"/>
      <c r="B1573" s="8"/>
      <c r="C1573" s="9"/>
      <c r="D1573" s="8"/>
      <c r="E1573" s="8"/>
      <c r="F1573" s="8"/>
      <c r="G1573" s="9"/>
      <c r="H1573" s="8"/>
      <c r="I1573" s="8"/>
      <c r="J1573" s="11"/>
      <c r="K1573" s="39"/>
      <c r="L1573" s="40"/>
      <c r="M1573" s="28"/>
      <c r="N1573" s="10"/>
      <c r="O1573" s="15"/>
      <c r="P1573" s="16"/>
      <c r="Q1573" s="15"/>
      <c r="R1573" s="17"/>
    </row>
    <row r="1574">
      <c r="A1574" s="38"/>
      <c r="B1574" s="8"/>
      <c r="C1574" s="9"/>
      <c r="D1574" s="8"/>
      <c r="E1574" s="8"/>
      <c r="F1574" s="8"/>
      <c r="G1574" s="9"/>
      <c r="H1574" s="8"/>
      <c r="I1574" s="8"/>
      <c r="J1574" s="11"/>
      <c r="K1574" s="39"/>
      <c r="L1574" s="40"/>
      <c r="M1574" s="28"/>
      <c r="N1574" s="10"/>
      <c r="O1574" s="15"/>
      <c r="P1574" s="16"/>
      <c r="Q1574" s="15"/>
      <c r="R1574" s="17"/>
    </row>
    <row r="1575">
      <c r="A1575" s="38"/>
      <c r="B1575" s="8"/>
      <c r="C1575" s="9"/>
      <c r="D1575" s="8"/>
      <c r="E1575" s="8"/>
      <c r="F1575" s="8"/>
      <c r="G1575" s="9"/>
      <c r="H1575" s="8"/>
      <c r="I1575" s="8"/>
      <c r="J1575" s="11"/>
      <c r="K1575" s="39"/>
      <c r="L1575" s="40"/>
      <c r="M1575" s="28"/>
      <c r="N1575" s="10"/>
      <c r="O1575" s="15"/>
      <c r="P1575" s="16"/>
      <c r="Q1575" s="15"/>
      <c r="R1575" s="17"/>
    </row>
    <row r="1576">
      <c r="A1576" s="38"/>
      <c r="B1576" s="8"/>
      <c r="C1576" s="9"/>
      <c r="D1576" s="8"/>
      <c r="E1576" s="8"/>
      <c r="F1576" s="8"/>
      <c r="G1576" s="9"/>
      <c r="H1576" s="8"/>
      <c r="I1576" s="8"/>
      <c r="J1576" s="11"/>
      <c r="K1576" s="39"/>
      <c r="L1576" s="40"/>
      <c r="M1576" s="28"/>
      <c r="N1576" s="10"/>
      <c r="O1576" s="15"/>
      <c r="P1576" s="16"/>
      <c r="Q1576" s="15"/>
      <c r="R1576" s="17"/>
    </row>
    <row r="1577">
      <c r="A1577" s="38"/>
      <c r="B1577" s="8"/>
      <c r="C1577" s="9"/>
      <c r="D1577" s="8"/>
      <c r="E1577" s="8"/>
      <c r="F1577" s="8"/>
      <c r="G1577" s="9"/>
      <c r="H1577" s="8"/>
      <c r="I1577" s="8"/>
      <c r="J1577" s="11"/>
      <c r="K1577" s="39"/>
      <c r="L1577" s="40"/>
      <c r="M1577" s="28"/>
      <c r="N1577" s="10"/>
      <c r="O1577" s="15"/>
      <c r="P1577" s="16"/>
      <c r="Q1577" s="15"/>
      <c r="R1577" s="17"/>
    </row>
    <row r="1578">
      <c r="A1578" s="38"/>
      <c r="B1578" s="8"/>
      <c r="C1578" s="9"/>
      <c r="D1578" s="8"/>
      <c r="E1578" s="8"/>
      <c r="F1578" s="8"/>
      <c r="G1578" s="9"/>
      <c r="H1578" s="8"/>
      <c r="I1578" s="8"/>
      <c r="J1578" s="11"/>
      <c r="K1578" s="39"/>
      <c r="L1578" s="40"/>
      <c r="M1578" s="28"/>
      <c r="N1578" s="10"/>
      <c r="O1578" s="15"/>
      <c r="P1578" s="16"/>
      <c r="Q1578" s="15"/>
      <c r="R1578" s="17"/>
    </row>
    <row r="1579">
      <c r="A1579" s="38"/>
      <c r="B1579" s="8"/>
      <c r="C1579" s="9"/>
      <c r="D1579" s="8"/>
      <c r="E1579" s="8"/>
      <c r="F1579" s="8"/>
      <c r="G1579" s="9"/>
      <c r="H1579" s="8"/>
      <c r="I1579" s="8"/>
      <c r="J1579" s="11"/>
      <c r="K1579" s="39"/>
      <c r="L1579" s="40"/>
      <c r="M1579" s="28"/>
      <c r="N1579" s="10"/>
      <c r="O1579" s="15"/>
      <c r="P1579" s="16"/>
      <c r="Q1579" s="15"/>
      <c r="R1579" s="17"/>
    </row>
    <row r="1580">
      <c r="A1580" s="38"/>
      <c r="B1580" s="8"/>
      <c r="C1580" s="9"/>
      <c r="D1580" s="8"/>
      <c r="E1580" s="8"/>
      <c r="F1580" s="8"/>
      <c r="G1580" s="9"/>
      <c r="H1580" s="8"/>
      <c r="I1580" s="8"/>
      <c r="J1580" s="11"/>
      <c r="K1580" s="39"/>
      <c r="L1580" s="40"/>
      <c r="M1580" s="28"/>
      <c r="N1580" s="10"/>
      <c r="O1580" s="15"/>
      <c r="P1580" s="16"/>
      <c r="Q1580" s="15"/>
      <c r="R1580" s="17"/>
    </row>
    <row r="1581">
      <c r="A1581" s="38"/>
      <c r="B1581" s="8"/>
      <c r="C1581" s="9"/>
      <c r="D1581" s="8"/>
      <c r="E1581" s="8"/>
      <c r="F1581" s="8"/>
      <c r="G1581" s="9"/>
      <c r="H1581" s="8"/>
      <c r="I1581" s="8"/>
      <c r="J1581" s="11"/>
      <c r="K1581" s="39"/>
      <c r="L1581" s="40"/>
      <c r="M1581" s="28"/>
      <c r="N1581" s="10"/>
      <c r="O1581" s="15"/>
      <c r="P1581" s="16"/>
      <c r="Q1581" s="15"/>
      <c r="R1581" s="17"/>
    </row>
    <row r="1582">
      <c r="A1582" s="38"/>
      <c r="B1582" s="8"/>
      <c r="C1582" s="9"/>
      <c r="D1582" s="8"/>
      <c r="E1582" s="8"/>
      <c r="F1582" s="8"/>
      <c r="G1582" s="9"/>
      <c r="H1582" s="8"/>
      <c r="I1582" s="8"/>
      <c r="J1582" s="11"/>
      <c r="K1582" s="39"/>
      <c r="L1582" s="40"/>
      <c r="M1582" s="28"/>
      <c r="N1582" s="10"/>
      <c r="O1582" s="15"/>
      <c r="P1582" s="16"/>
      <c r="Q1582" s="15"/>
      <c r="R1582" s="17"/>
    </row>
    <row r="1583">
      <c r="A1583" s="38"/>
      <c r="B1583" s="8"/>
      <c r="C1583" s="9"/>
      <c r="D1583" s="8"/>
      <c r="E1583" s="8"/>
      <c r="F1583" s="8"/>
      <c r="G1583" s="9"/>
      <c r="H1583" s="8"/>
      <c r="I1583" s="8"/>
      <c r="J1583" s="11"/>
      <c r="K1583" s="39"/>
      <c r="L1583" s="40"/>
      <c r="M1583" s="28"/>
      <c r="N1583" s="10"/>
      <c r="O1583" s="15"/>
      <c r="P1583" s="16"/>
      <c r="Q1583" s="15"/>
      <c r="R1583" s="17"/>
    </row>
    <row r="1584">
      <c r="A1584" s="38"/>
      <c r="B1584" s="8"/>
      <c r="C1584" s="9"/>
      <c r="D1584" s="8"/>
      <c r="E1584" s="8"/>
      <c r="F1584" s="8"/>
      <c r="G1584" s="9"/>
      <c r="H1584" s="8"/>
      <c r="I1584" s="8"/>
      <c r="J1584" s="11"/>
      <c r="K1584" s="39"/>
      <c r="L1584" s="40"/>
      <c r="M1584" s="28"/>
      <c r="N1584" s="10"/>
      <c r="O1584" s="15"/>
      <c r="P1584" s="16"/>
      <c r="Q1584" s="15"/>
      <c r="R1584" s="17"/>
    </row>
    <row r="1585">
      <c r="A1585" s="38"/>
      <c r="B1585" s="8"/>
      <c r="C1585" s="9"/>
      <c r="D1585" s="8"/>
      <c r="E1585" s="8"/>
      <c r="F1585" s="8"/>
      <c r="G1585" s="9"/>
      <c r="H1585" s="8"/>
      <c r="I1585" s="8"/>
      <c r="J1585" s="11"/>
      <c r="K1585" s="39"/>
      <c r="L1585" s="40"/>
      <c r="M1585" s="28"/>
      <c r="N1585" s="10"/>
      <c r="O1585" s="15"/>
      <c r="P1585" s="16"/>
      <c r="Q1585" s="15"/>
      <c r="R1585" s="17"/>
    </row>
    <row r="1586">
      <c r="A1586" s="38"/>
      <c r="B1586" s="8"/>
      <c r="C1586" s="9"/>
      <c r="D1586" s="8"/>
      <c r="E1586" s="8"/>
      <c r="F1586" s="8"/>
      <c r="G1586" s="9"/>
      <c r="H1586" s="8"/>
      <c r="I1586" s="8"/>
      <c r="J1586" s="11"/>
      <c r="K1586" s="39"/>
      <c r="L1586" s="40"/>
      <c r="M1586" s="28"/>
      <c r="N1586" s="10"/>
      <c r="O1586" s="15"/>
      <c r="P1586" s="16"/>
      <c r="Q1586" s="15"/>
      <c r="R1586" s="17"/>
    </row>
    <row r="1587">
      <c r="A1587" s="38"/>
      <c r="B1587" s="8"/>
      <c r="C1587" s="9"/>
      <c r="D1587" s="8"/>
      <c r="E1587" s="8"/>
      <c r="F1587" s="8"/>
      <c r="G1587" s="9"/>
      <c r="H1587" s="8"/>
      <c r="I1587" s="8"/>
      <c r="J1587" s="11"/>
      <c r="K1587" s="39"/>
      <c r="L1587" s="40"/>
      <c r="M1587" s="28"/>
      <c r="N1587" s="10"/>
      <c r="O1587" s="15"/>
      <c r="P1587" s="16"/>
      <c r="Q1587" s="15"/>
      <c r="R1587" s="17"/>
    </row>
    <row r="1588">
      <c r="A1588" s="38"/>
      <c r="B1588" s="8"/>
      <c r="C1588" s="9"/>
      <c r="D1588" s="8"/>
      <c r="E1588" s="8"/>
      <c r="F1588" s="8"/>
      <c r="G1588" s="9"/>
      <c r="H1588" s="8"/>
      <c r="I1588" s="8"/>
      <c r="J1588" s="11"/>
      <c r="K1588" s="39"/>
      <c r="L1588" s="40"/>
      <c r="M1588" s="28"/>
      <c r="N1588" s="10"/>
      <c r="O1588" s="15"/>
      <c r="P1588" s="16"/>
      <c r="Q1588" s="15"/>
      <c r="R1588" s="17"/>
    </row>
    <row r="1589">
      <c r="A1589" s="38"/>
      <c r="B1589" s="8"/>
      <c r="C1589" s="9"/>
      <c r="D1589" s="8"/>
      <c r="E1589" s="8"/>
      <c r="F1589" s="8"/>
      <c r="G1589" s="9"/>
      <c r="H1589" s="8"/>
      <c r="I1589" s="8"/>
      <c r="J1589" s="11"/>
      <c r="K1589" s="39"/>
      <c r="L1589" s="40"/>
      <c r="M1589" s="28"/>
      <c r="N1589" s="10"/>
      <c r="O1589" s="15"/>
      <c r="P1589" s="16"/>
      <c r="Q1589" s="15"/>
      <c r="R1589" s="17"/>
    </row>
    <row r="1590">
      <c r="A1590" s="38"/>
      <c r="B1590" s="8"/>
      <c r="C1590" s="9"/>
      <c r="D1590" s="8"/>
      <c r="E1590" s="8"/>
      <c r="F1590" s="8"/>
      <c r="G1590" s="9"/>
      <c r="H1590" s="8"/>
      <c r="I1590" s="8"/>
      <c r="J1590" s="11"/>
      <c r="K1590" s="39"/>
      <c r="L1590" s="40"/>
      <c r="M1590" s="28"/>
      <c r="N1590" s="10"/>
      <c r="O1590" s="15"/>
      <c r="P1590" s="16"/>
      <c r="Q1590" s="15"/>
      <c r="R1590" s="17"/>
    </row>
    <row r="1591">
      <c r="A1591" s="38"/>
      <c r="B1591" s="8"/>
      <c r="C1591" s="9"/>
      <c r="D1591" s="8"/>
      <c r="E1591" s="8"/>
      <c r="F1591" s="8"/>
      <c r="G1591" s="9"/>
      <c r="H1591" s="8"/>
      <c r="I1591" s="8"/>
      <c r="J1591" s="11"/>
      <c r="K1591" s="39"/>
      <c r="L1591" s="40"/>
      <c r="M1591" s="28"/>
      <c r="N1591" s="10"/>
      <c r="O1591" s="15"/>
      <c r="P1591" s="16"/>
      <c r="Q1591" s="15"/>
      <c r="R1591" s="17"/>
    </row>
    <row r="1592">
      <c r="A1592" s="38"/>
      <c r="B1592" s="8"/>
      <c r="C1592" s="9"/>
      <c r="D1592" s="8"/>
      <c r="E1592" s="8"/>
      <c r="F1592" s="8"/>
      <c r="G1592" s="9"/>
      <c r="H1592" s="8"/>
      <c r="I1592" s="8"/>
      <c r="J1592" s="11"/>
      <c r="K1592" s="39"/>
      <c r="L1592" s="40"/>
      <c r="M1592" s="28"/>
      <c r="N1592" s="10"/>
      <c r="O1592" s="15"/>
      <c r="P1592" s="16"/>
      <c r="Q1592" s="15"/>
      <c r="R1592" s="17"/>
    </row>
    <row r="1593">
      <c r="A1593" s="38"/>
      <c r="B1593" s="8"/>
      <c r="C1593" s="9"/>
      <c r="D1593" s="8"/>
      <c r="E1593" s="8"/>
      <c r="F1593" s="8"/>
      <c r="G1593" s="9"/>
      <c r="H1593" s="8"/>
      <c r="I1593" s="8"/>
      <c r="J1593" s="11"/>
      <c r="K1593" s="39"/>
      <c r="L1593" s="40"/>
      <c r="M1593" s="28"/>
      <c r="N1593" s="10"/>
      <c r="O1593" s="15"/>
      <c r="P1593" s="16"/>
      <c r="Q1593" s="15"/>
      <c r="R1593" s="17"/>
    </row>
    <row r="1594">
      <c r="A1594" s="38"/>
      <c r="B1594" s="8"/>
      <c r="C1594" s="9"/>
      <c r="D1594" s="8"/>
      <c r="E1594" s="8"/>
      <c r="F1594" s="8"/>
      <c r="G1594" s="9"/>
      <c r="H1594" s="8"/>
      <c r="I1594" s="8"/>
      <c r="J1594" s="11"/>
      <c r="K1594" s="39"/>
      <c r="L1594" s="40"/>
      <c r="M1594" s="28"/>
      <c r="N1594" s="10"/>
      <c r="O1594" s="15"/>
      <c r="P1594" s="16"/>
      <c r="Q1594" s="15"/>
      <c r="R1594" s="17"/>
    </row>
    <row r="1595">
      <c r="A1595" s="38"/>
      <c r="B1595" s="8"/>
      <c r="C1595" s="9"/>
      <c r="D1595" s="8"/>
      <c r="E1595" s="8"/>
      <c r="F1595" s="8"/>
      <c r="G1595" s="9"/>
      <c r="H1595" s="8"/>
      <c r="I1595" s="8"/>
      <c r="J1595" s="11"/>
      <c r="K1595" s="39"/>
      <c r="L1595" s="40"/>
      <c r="M1595" s="28"/>
      <c r="N1595" s="10"/>
      <c r="O1595" s="15"/>
      <c r="P1595" s="16"/>
      <c r="Q1595" s="15"/>
      <c r="R1595" s="17"/>
    </row>
    <row r="1596">
      <c r="A1596" s="38"/>
      <c r="B1596" s="8"/>
      <c r="C1596" s="9"/>
      <c r="D1596" s="8"/>
      <c r="E1596" s="8"/>
      <c r="F1596" s="8"/>
      <c r="G1596" s="9"/>
      <c r="H1596" s="8"/>
      <c r="I1596" s="8"/>
      <c r="J1596" s="11"/>
      <c r="K1596" s="39"/>
      <c r="L1596" s="40"/>
      <c r="M1596" s="28"/>
      <c r="N1596" s="10"/>
      <c r="O1596" s="15"/>
      <c r="P1596" s="16"/>
      <c r="Q1596" s="15"/>
      <c r="R1596" s="17"/>
    </row>
    <row r="1597">
      <c r="A1597" s="38"/>
      <c r="B1597" s="8"/>
      <c r="C1597" s="9"/>
      <c r="D1597" s="8"/>
      <c r="E1597" s="8"/>
      <c r="F1597" s="8"/>
      <c r="G1597" s="9"/>
      <c r="H1597" s="8"/>
      <c r="I1597" s="8"/>
      <c r="J1597" s="11"/>
      <c r="K1597" s="39"/>
      <c r="L1597" s="40"/>
      <c r="M1597" s="28"/>
      <c r="N1597" s="10"/>
      <c r="O1597" s="15"/>
      <c r="P1597" s="16"/>
      <c r="Q1597" s="15"/>
      <c r="R1597" s="17"/>
    </row>
    <row r="1598">
      <c r="A1598" s="38"/>
      <c r="B1598" s="8"/>
      <c r="C1598" s="9"/>
      <c r="D1598" s="8"/>
      <c r="E1598" s="8"/>
      <c r="F1598" s="8"/>
      <c r="G1598" s="9"/>
      <c r="H1598" s="8"/>
      <c r="I1598" s="8"/>
      <c r="J1598" s="11"/>
      <c r="K1598" s="39"/>
      <c r="L1598" s="40"/>
      <c r="M1598" s="28"/>
      <c r="N1598" s="10"/>
      <c r="O1598" s="15"/>
      <c r="P1598" s="16"/>
      <c r="Q1598" s="15"/>
      <c r="R1598" s="17"/>
    </row>
    <row r="1599">
      <c r="A1599" s="38"/>
      <c r="B1599" s="8"/>
      <c r="C1599" s="9"/>
      <c r="D1599" s="8"/>
      <c r="E1599" s="8"/>
      <c r="F1599" s="8"/>
      <c r="G1599" s="9"/>
      <c r="H1599" s="8"/>
      <c r="I1599" s="8"/>
      <c r="J1599" s="11"/>
      <c r="K1599" s="39"/>
      <c r="L1599" s="40"/>
      <c r="M1599" s="28"/>
      <c r="N1599" s="10"/>
      <c r="O1599" s="15"/>
      <c r="P1599" s="16"/>
      <c r="Q1599" s="15"/>
      <c r="R1599" s="17"/>
    </row>
    <row r="1600">
      <c r="A1600" s="38"/>
      <c r="B1600" s="8"/>
      <c r="C1600" s="9"/>
      <c r="D1600" s="8"/>
      <c r="E1600" s="8"/>
      <c r="F1600" s="8"/>
      <c r="G1600" s="9"/>
      <c r="H1600" s="8"/>
      <c r="I1600" s="8"/>
      <c r="J1600" s="11"/>
      <c r="K1600" s="39"/>
      <c r="L1600" s="40"/>
      <c r="M1600" s="28"/>
      <c r="N1600" s="10"/>
      <c r="O1600" s="15"/>
      <c r="P1600" s="16"/>
      <c r="Q1600" s="15"/>
      <c r="R1600" s="17"/>
    </row>
    <row r="1601">
      <c r="A1601" s="38"/>
      <c r="B1601" s="8"/>
      <c r="C1601" s="9"/>
      <c r="D1601" s="8"/>
      <c r="E1601" s="8"/>
      <c r="F1601" s="8"/>
      <c r="G1601" s="9"/>
      <c r="H1601" s="8"/>
      <c r="I1601" s="8"/>
      <c r="J1601" s="11"/>
      <c r="K1601" s="39"/>
      <c r="L1601" s="40"/>
      <c r="M1601" s="28"/>
      <c r="N1601" s="10"/>
      <c r="O1601" s="15"/>
      <c r="P1601" s="16"/>
      <c r="Q1601" s="15"/>
      <c r="R1601" s="17"/>
    </row>
    <row r="1602">
      <c r="A1602" s="38"/>
      <c r="B1602" s="8"/>
      <c r="C1602" s="9"/>
      <c r="D1602" s="8"/>
      <c r="E1602" s="8"/>
      <c r="F1602" s="8"/>
      <c r="G1602" s="9"/>
      <c r="H1602" s="8"/>
      <c r="I1602" s="8"/>
      <c r="J1602" s="11"/>
      <c r="K1602" s="39"/>
      <c r="L1602" s="40"/>
      <c r="M1602" s="28"/>
      <c r="N1602" s="10"/>
      <c r="O1602" s="15"/>
      <c r="P1602" s="16"/>
      <c r="Q1602" s="15"/>
      <c r="R1602" s="17"/>
    </row>
    <row r="1603">
      <c r="A1603" s="38"/>
      <c r="B1603" s="8"/>
      <c r="C1603" s="9"/>
      <c r="D1603" s="8"/>
      <c r="E1603" s="8"/>
      <c r="F1603" s="8"/>
      <c r="G1603" s="9"/>
      <c r="H1603" s="8"/>
      <c r="I1603" s="8"/>
      <c r="J1603" s="11"/>
      <c r="K1603" s="39"/>
      <c r="L1603" s="40"/>
      <c r="M1603" s="28"/>
      <c r="N1603" s="10"/>
      <c r="O1603" s="15"/>
      <c r="P1603" s="16"/>
      <c r="Q1603" s="15"/>
      <c r="R1603" s="17"/>
    </row>
    <row r="1604">
      <c r="A1604" s="38"/>
      <c r="B1604" s="8"/>
      <c r="C1604" s="9"/>
      <c r="D1604" s="8"/>
      <c r="E1604" s="8"/>
      <c r="F1604" s="8"/>
      <c r="G1604" s="9"/>
      <c r="H1604" s="8"/>
      <c r="I1604" s="8"/>
      <c r="J1604" s="11"/>
      <c r="K1604" s="39"/>
      <c r="L1604" s="40"/>
      <c r="M1604" s="28"/>
      <c r="N1604" s="10"/>
      <c r="O1604" s="15"/>
      <c r="P1604" s="16"/>
      <c r="Q1604" s="15"/>
      <c r="R1604" s="17"/>
    </row>
    <row r="1605">
      <c r="A1605" s="38"/>
      <c r="B1605" s="8"/>
      <c r="C1605" s="9"/>
      <c r="D1605" s="8"/>
      <c r="E1605" s="8"/>
      <c r="F1605" s="8"/>
      <c r="G1605" s="9"/>
      <c r="H1605" s="8"/>
      <c r="I1605" s="8"/>
      <c r="J1605" s="11"/>
      <c r="K1605" s="39"/>
      <c r="L1605" s="40"/>
      <c r="M1605" s="28"/>
      <c r="N1605" s="10"/>
      <c r="O1605" s="15"/>
      <c r="P1605" s="16"/>
      <c r="Q1605" s="15"/>
      <c r="R1605" s="17"/>
    </row>
    <row r="1606">
      <c r="A1606" s="38"/>
      <c r="B1606" s="8"/>
      <c r="C1606" s="9"/>
      <c r="D1606" s="8"/>
      <c r="E1606" s="8"/>
      <c r="F1606" s="8"/>
      <c r="G1606" s="9"/>
      <c r="H1606" s="8"/>
      <c r="I1606" s="8"/>
      <c r="J1606" s="11"/>
      <c r="K1606" s="39"/>
      <c r="L1606" s="40"/>
      <c r="M1606" s="28"/>
      <c r="N1606" s="10"/>
      <c r="O1606" s="15"/>
      <c r="P1606" s="16"/>
      <c r="Q1606" s="15"/>
      <c r="R1606" s="17"/>
    </row>
    <row r="1607">
      <c r="A1607" s="38"/>
      <c r="B1607" s="8"/>
      <c r="C1607" s="9"/>
      <c r="D1607" s="8"/>
      <c r="E1607" s="8"/>
      <c r="F1607" s="8"/>
      <c r="G1607" s="9"/>
      <c r="H1607" s="8"/>
      <c r="I1607" s="8"/>
      <c r="J1607" s="11"/>
      <c r="K1607" s="39"/>
      <c r="L1607" s="40"/>
      <c r="M1607" s="28"/>
      <c r="N1607" s="10"/>
      <c r="O1607" s="15"/>
      <c r="P1607" s="16"/>
      <c r="Q1607" s="15"/>
      <c r="R1607" s="17"/>
    </row>
    <row r="1608">
      <c r="A1608" s="38"/>
      <c r="B1608" s="8"/>
      <c r="C1608" s="9"/>
      <c r="D1608" s="8"/>
      <c r="E1608" s="8"/>
      <c r="F1608" s="8"/>
      <c r="G1608" s="9"/>
      <c r="H1608" s="8"/>
      <c r="I1608" s="8"/>
      <c r="J1608" s="11"/>
      <c r="K1608" s="39"/>
      <c r="L1608" s="40"/>
      <c r="M1608" s="28"/>
      <c r="N1608" s="10"/>
      <c r="O1608" s="15"/>
      <c r="P1608" s="16"/>
      <c r="Q1608" s="15"/>
      <c r="R1608" s="17"/>
    </row>
    <row r="1609">
      <c r="A1609" s="38"/>
      <c r="B1609" s="8"/>
      <c r="C1609" s="9"/>
      <c r="D1609" s="8"/>
      <c r="E1609" s="8"/>
      <c r="F1609" s="8"/>
      <c r="G1609" s="9"/>
      <c r="H1609" s="8"/>
      <c r="I1609" s="8"/>
      <c r="J1609" s="11"/>
      <c r="K1609" s="39"/>
      <c r="L1609" s="40"/>
      <c r="M1609" s="28"/>
      <c r="N1609" s="10"/>
      <c r="O1609" s="15"/>
      <c r="P1609" s="16"/>
      <c r="Q1609" s="15"/>
      <c r="R1609" s="17"/>
    </row>
    <row r="1610">
      <c r="A1610" s="38"/>
      <c r="B1610" s="8"/>
      <c r="C1610" s="9"/>
      <c r="D1610" s="8"/>
      <c r="E1610" s="8"/>
      <c r="F1610" s="8"/>
      <c r="G1610" s="9"/>
      <c r="H1610" s="8"/>
      <c r="I1610" s="8"/>
      <c r="J1610" s="11"/>
      <c r="K1610" s="39"/>
      <c r="L1610" s="40"/>
      <c r="M1610" s="28"/>
      <c r="N1610" s="10"/>
      <c r="O1610" s="15"/>
      <c r="P1610" s="16"/>
      <c r="Q1610" s="15"/>
      <c r="R1610" s="17"/>
    </row>
    <row r="1611">
      <c r="A1611" s="38"/>
      <c r="B1611" s="8"/>
      <c r="C1611" s="9"/>
      <c r="D1611" s="8"/>
      <c r="E1611" s="8"/>
      <c r="F1611" s="8"/>
      <c r="G1611" s="9"/>
      <c r="H1611" s="8"/>
      <c r="I1611" s="8"/>
      <c r="J1611" s="11"/>
      <c r="K1611" s="39"/>
      <c r="L1611" s="40"/>
      <c r="M1611" s="28"/>
      <c r="N1611" s="10"/>
      <c r="O1611" s="15"/>
      <c r="P1611" s="16"/>
      <c r="Q1611" s="15"/>
      <c r="R1611" s="17"/>
    </row>
    <row r="1612">
      <c r="A1612" s="38"/>
      <c r="B1612" s="8"/>
      <c r="C1612" s="9"/>
      <c r="D1612" s="8"/>
      <c r="E1612" s="8"/>
      <c r="F1612" s="8"/>
      <c r="G1612" s="9"/>
      <c r="H1612" s="8"/>
      <c r="I1612" s="8"/>
      <c r="J1612" s="11"/>
      <c r="K1612" s="39"/>
      <c r="L1612" s="40"/>
      <c r="M1612" s="28"/>
      <c r="N1612" s="10"/>
      <c r="O1612" s="15"/>
      <c r="P1612" s="16"/>
      <c r="Q1612" s="15"/>
      <c r="R1612" s="17"/>
    </row>
    <row r="1613">
      <c r="A1613" s="38"/>
      <c r="B1613" s="8"/>
      <c r="C1613" s="9"/>
      <c r="D1613" s="8"/>
      <c r="E1613" s="8"/>
      <c r="F1613" s="8"/>
      <c r="G1613" s="9"/>
      <c r="H1613" s="8"/>
      <c r="I1613" s="8"/>
      <c r="J1613" s="11"/>
      <c r="K1613" s="39"/>
      <c r="L1613" s="40"/>
      <c r="M1613" s="28"/>
      <c r="N1613" s="10"/>
      <c r="O1613" s="15"/>
      <c r="P1613" s="16"/>
      <c r="Q1613" s="15"/>
      <c r="R1613" s="17"/>
    </row>
    <row r="1614">
      <c r="A1614" s="38"/>
      <c r="B1614" s="8"/>
      <c r="C1614" s="9"/>
      <c r="D1614" s="8"/>
      <c r="E1614" s="8"/>
      <c r="F1614" s="8"/>
      <c r="G1614" s="9"/>
      <c r="H1614" s="8"/>
      <c r="I1614" s="8"/>
      <c r="J1614" s="11"/>
      <c r="K1614" s="39"/>
      <c r="L1614" s="40"/>
      <c r="M1614" s="28"/>
      <c r="N1614" s="10"/>
      <c r="O1614" s="15"/>
      <c r="P1614" s="16"/>
      <c r="Q1614" s="15"/>
      <c r="R1614" s="17"/>
    </row>
    <row r="1615">
      <c r="A1615" s="38"/>
      <c r="B1615" s="8"/>
      <c r="C1615" s="9"/>
      <c r="D1615" s="8"/>
      <c r="E1615" s="8"/>
      <c r="F1615" s="8"/>
      <c r="G1615" s="9"/>
      <c r="H1615" s="8"/>
      <c r="I1615" s="8"/>
      <c r="J1615" s="11"/>
      <c r="K1615" s="39"/>
      <c r="L1615" s="40"/>
      <c r="M1615" s="28"/>
      <c r="N1615" s="10"/>
      <c r="O1615" s="15"/>
      <c r="P1615" s="16"/>
      <c r="Q1615" s="15"/>
      <c r="R1615" s="17"/>
    </row>
    <row r="1616">
      <c r="A1616" s="38"/>
      <c r="B1616" s="8"/>
      <c r="C1616" s="9"/>
      <c r="D1616" s="8"/>
      <c r="E1616" s="8"/>
      <c r="F1616" s="8"/>
      <c r="G1616" s="9"/>
      <c r="H1616" s="8"/>
      <c r="I1616" s="8"/>
      <c r="J1616" s="11"/>
      <c r="K1616" s="39"/>
      <c r="L1616" s="40"/>
      <c r="M1616" s="28"/>
      <c r="N1616" s="10"/>
      <c r="O1616" s="15"/>
      <c r="P1616" s="16"/>
      <c r="Q1616" s="15"/>
      <c r="R1616" s="17"/>
    </row>
    <row r="1617">
      <c r="A1617" s="38"/>
      <c r="B1617" s="8"/>
      <c r="C1617" s="9"/>
      <c r="D1617" s="8"/>
      <c r="E1617" s="8"/>
      <c r="F1617" s="8"/>
      <c r="G1617" s="9"/>
      <c r="H1617" s="8"/>
      <c r="I1617" s="8"/>
      <c r="J1617" s="11"/>
      <c r="K1617" s="39"/>
      <c r="L1617" s="40"/>
      <c r="M1617" s="28"/>
      <c r="N1617" s="10"/>
      <c r="O1617" s="15"/>
      <c r="P1617" s="16"/>
      <c r="Q1617" s="15"/>
      <c r="R1617" s="17"/>
    </row>
    <row r="1618">
      <c r="A1618" s="38"/>
      <c r="B1618" s="8"/>
      <c r="C1618" s="9"/>
      <c r="D1618" s="8"/>
      <c r="E1618" s="8"/>
      <c r="F1618" s="8"/>
      <c r="G1618" s="9"/>
      <c r="H1618" s="8"/>
      <c r="I1618" s="8"/>
      <c r="J1618" s="11"/>
      <c r="K1618" s="39"/>
      <c r="L1618" s="40"/>
      <c r="M1618" s="28"/>
      <c r="N1618" s="10"/>
      <c r="O1618" s="15"/>
      <c r="P1618" s="16"/>
      <c r="Q1618" s="15"/>
      <c r="R1618" s="17"/>
    </row>
    <row r="1619">
      <c r="A1619" s="38"/>
      <c r="B1619" s="8"/>
      <c r="C1619" s="9"/>
      <c r="D1619" s="8"/>
      <c r="E1619" s="8"/>
      <c r="F1619" s="8"/>
      <c r="G1619" s="9"/>
      <c r="H1619" s="8"/>
      <c r="I1619" s="8"/>
      <c r="J1619" s="11"/>
      <c r="K1619" s="39"/>
      <c r="L1619" s="40"/>
      <c r="M1619" s="28"/>
      <c r="N1619" s="10"/>
      <c r="O1619" s="15"/>
      <c r="P1619" s="16"/>
      <c r="Q1619" s="15"/>
      <c r="R1619" s="17"/>
    </row>
    <row r="1620">
      <c r="A1620" s="38"/>
      <c r="B1620" s="8"/>
      <c r="C1620" s="9"/>
      <c r="D1620" s="8"/>
      <c r="E1620" s="8"/>
      <c r="F1620" s="8"/>
      <c r="G1620" s="9"/>
      <c r="H1620" s="8"/>
      <c r="I1620" s="8"/>
      <c r="J1620" s="11"/>
      <c r="K1620" s="39"/>
      <c r="L1620" s="40"/>
      <c r="M1620" s="28"/>
      <c r="N1620" s="10"/>
      <c r="O1620" s="15"/>
      <c r="P1620" s="16"/>
      <c r="Q1620" s="15"/>
      <c r="R1620" s="17"/>
    </row>
    <row r="1621">
      <c r="A1621" s="38"/>
      <c r="B1621" s="8"/>
      <c r="C1621" s="9"/>
      <c r="D1621" s="8"/>
      <c r="E1621" s="8"/>
      <c r="F1621" s="8"/>
      <c r="G1621" s="9"/>
      <c r="H1621" s="8"/>
      <c r="I1621" s="8"/>
      <c r="J1621" s="11"/>
      <c r="K1621" s="39"/>
      <c r="L1621" s="40"/>
      <c r="M1621" s="28"/>
      <c r="N1621" s="10"/>
      <c r="O1621" s="15"/>
      <c r="P1621" s="16"/>
      <c r="Q1621" s="15"/>
      <c r="R1621" s="17"/>
    </row>
    <row r="1622">
      <c r="A1622" s="38"/>
      <c r="B1622" s="8"/>
      <c r="C1622" s="9"/>
      <c r="D1622" s="8"/>
      <c r="E1622" s="8"/>
      <c r="F1622" s="8"/>
      <c r="G1622" s="9"/>
      <c r="H1622" s="8"/>
      <c r="I1622" s="8"/>
      <c r="J1622" s="11"/>
      <c r="K1622" s="39"/>
      <c r="L1622" s="40"/>
      <c r="M1622" s="28"/>
      <c r="N1622" s="10"/>
      <c r="O1622" s="15"/>
      <c r="P1622" s="16"/>
      <c r="Q1622" s="15"/>
      <c r="R1622" s="17"/>
    </row>
    <row r="1623">
      <c r="A1623" s="38"/>
      <c r="B1623" s="8"/>
      <c r="C1623" s="9"/>
      <c r="D1623" s="8"/>
      <c r="E1623" s="8"/>
      <c r="F1623" s="8"/>
      <c r="G1623" s="9"/>
      <c r="H1623" s="8"/>
      <c r="I1623" s="8"/>
      <c r="J1623" s="11"/>
      <c r="K1623" s="39"/>
      <c r="L1623" s="40"/>
      <c r="M1623" s="28"/>
      <c r="N1623" s="10"/>
      <c r="O1623" s="15"/>
      <c r="P1623" s="16"/>
      <c r="Q1623" s="15"/>
      <c r="R1623" s="17"/>
    </row>
    <row r="1624">
      <c r="A1624" s="38"/>
      <c r="B1624" s="8"/>
      <c r="C1624" s="9"/>
      <c r="D1624" s="8"/>
      <c r="E1624" s="8"/>
      <c r="F1624" s="8"/>
      <c r="G1624" s="9"/>
      <c r="H1624" s="8"/>
      <c r="I1624" s="8"/>
      <c r="J1624" s="11"/>
      <c r="K1624" s="39"/>
      <c r="L1624" s="40"/>
      <c r="M1624" s="28"/>
      <c r="N1624" s="10"/>
      <c r="O1624" s="15"/>
      <c r="P1624" s="16"/>
      <c r="Q1624" s="15"/>
      <c r="R1624" s="17"/>
    </row>
    <row r="1625">
      <c r="A1625" s="38"/>
      <c r="B1625" s="8"/>
      <c r="C1625" s="9"/>
      <c r="D1625" s="8"/>
      <c r="E1625" s="8"/>
      <c r="F1625" s="8"/>
      <c r="G1625" s="9"/>
      <c r="H1625" s="8"/>
      <c r="I1625" s="8"/>
      <c r="J1625" s="11"/>
      <c r="K1625" s="39"/>
      <c r="L1625" s="40"/>
      <c r="M1625" s="28"/>
      <c r="N1625" s="10"/>
      <c r="O1625" s="15"/>
      <c r="P1625" s="16"/>
      <c r="Q1625" s="15"/>
      <c r="R1625" s="17"/>
    </row>
    <row r="1626">
      <c r="A1626" s="38"/>
      <c r="B1626" s="8"/>
      <c r="C1626" s="9"/>
      <c r="D1626" s="8"/>
      <c r="E1626" s="8"/>
      <c r="F1626" s="8"/>
      <c r="G1626" s="9"/>
      <c r="H1626" s="8"/>
      <c r="I1626" s="8"/>
      <c r="J1626" s="11"/>
      <c r="K1626" s="39"/>
      <c r="L1626" s="40"/>
      <c r="M1626" s="28"/>
      <c r="N1626" s="10"/>
      <c r="O1626" s="15"/>
      <c r="P1626" s="16"/>
      <c r="Q1626" s="15"/>
      <c r="R1626" s="17"/>
    </row>
    <row r="1627">
      <c r="A1627" s="38"/>
      <c r="B1627" s="8"/>
      <c r="C1627" s="9"/>
      <c r="D1627" s="8"/>
      <c r="E1627" s="8"/>
      <c r="F1627" s="8"/>
      <c r="G1627" s="9"/>
      <c r="H1627" s="8"/>
      <c r="I1627" s="8"/>
      <c r="J1627" s="11"/>
      <c r="K1627" s="39"/>
      <c r="L1627" s="40"/>
      <c r="M1627" s="28"/>
      <c r="N1627" s="10"/>
      <c r="O1627" s="15"/>
      <c r="P1627" s="16"/>
      <c r="Q1627" s="15"/>
      <c r="R1627" s="17"/>
    </row>
    <row r="1628">
      <c r="A1628" s="38"/>
      <c r="B1628" s="8"/>
      <c r="C1628" s="9"/>
      <c r="D1628" s="8"/>
      <c r="E1628" s="8"/>
      <c r="F1628" s="8"/>
      <c r="G1628" s="9"/>
      <c r="H1628" s="8"/>
      <c r="I1628" s="8"/>
      <c r="J1628" s="11"/>
      <c r="K1628" s="39"/>
      <c r="L1628" s="40"/>
      <c r="M1628" s="28"/>
      <c r="N1628" s="10"/>
      <c r="O1628" s="15"/>
      <c r="P1628" s="16"/>
      <c r="Q1628" s="15"/>
      <c r="R1628" s="17"/>
    </row>
    <row r="1629">
      <c r="A1629" s="38"/>
      <c r="B1629" s="8"/>
      <c r="C1629" s="9"/>
      <c r="D1629" s="8"/>
      <c r="E1629" s="8"/>
      <c r="F1629" s="8"/>
      <c r="G1629" s="9"/>
      <c r="H1629" s="8"/>
      <c r="I1629" s="8"/>
      <c r="J1629" s="11"/>
      <c r="K1629" s="39"/>
      <c r="L1629" s="40"/>
      <c r="M1629" s="28"/>
      <c r="N1629" s="10"/>
      <c r="O1629" s="15"/>
      <c r="P1629" s="16"/>
      <c r="Q1629" s="15"/>
      <c r="R1629" s="17"/>
    </row>
    <row r="1630">
      <c r="A1630" s="38"/>
      <c r="B1630" s="8"/>
      <c r="C1630" s="9"/>
      <c r="D1630" s="8"/>
      <c r="E1630" s="8"/>
      <c r="F1630" s="8"/>
      <c r="G1630" s="9"/>
      <c r="H1630" s="8"/>
      <c r="I1630" s="8"/>
      <c r="J1630" s="11"/>
      <c r="K1630" s="39"/>
      <c r="L1630" s="40"/>
      <c r="M1630" s="28"/>
      <c r="N1630" s="10"/>
      <c r="O1630" s="15"/>
      <c r="P1630" s="16"/>
      <c r="Q1630" s="15"/>
      <c r="R1630" s="17"/>
    </row>
    <row r="1631">
      <c r="A1631" s="38"/>
      <c r="B1631" s="8"/>
      <c r="C1631" s="9"/>
      <c r="D1631" s="8"/>
      <c r="E1631" s="8"/>
      <c r="F1631" s="8"/>
      <c r="G1631" s="9"/>
      <c r="H1631" s="8"/>
      <c r="I1631" s="8"/>
      <c r="J1631" s="11"/>
      <c r="K1631" s="39"/>
      <c r="L1631" s="40"/>
      <c r="M1631" s="28"/>
      <c r="N1631" s="10"/>
      <c r="O1631" s="15"/>
      <c r="P1631" s="16"/>
      <c r="Q1631" s="15"/>
      <c r="R1631" s="17"/>
    </row>
    <row r="1632">
      <c r="A1632" s="38"/>
      <c r="B1632" s="8"/>
      <c r="C1632" s="9"/>
      <c r="D1632" s="8"/>
      <c r="E1632" s="8"/>
      <c r="F1632" s="8"/>
      <c r="G1632" s="9"/>
      <c r="H1632" s="8"/>
      <c r="I1632" s="8"/>
      <c r="J1632" s="11"/>
      <c r="K1632" s="39"/>
      <c r="L1632" s="40"/>
      <c r="M1632" s="28"/>
      <c r="N1632" s="10"/>
      <c r="O1632" s="15"/>
      <c r="P1632" s="16"/>
      <c r="Q1632" s="15"/>
      <c r="R1632" s="17"/>
    </row>
    <row r="1633">
      <c r="A1633" s="38"/>
      <c r="B1633" s="8"/>
      <c r="C1633" s="9"/>
      <c r="D1633" s="8"/>
      <c r="E1633" s="8"/>
      <c r="F1633" s="8"/>
      <c r="G1633" s="9"/>
      <c r="H1633" s="8"/>
      <c r="I1633" s="8"/>
      <c r="J1633" s="11"/>
      <c r="K1633" s="39"/>
      <c r="L1633" s="40"/>
      <c r="M1633" s="28"/>
      <c r="N1633" s="10"/>
      <c r="O1633" s="15"/>
      <c r="P1633" s="16"/>
      <c r="Q1633" s="15"/>
      <c r="R1633" s="17"/>
    </row>
    <row r="1634">
      <c r="A1634" s="38"/>
      <c r="B1634" s="8"/>
      <c r="C1634" s="9"/>
      <c r="D1634" s="8"/>
      <c r="E1634" s="8"/>
      <c r="F1634" s="8"/>
      <c r="G1634" s="9"/>
      <c r="H1634" s="8"/>
      <c r="I1634" s="8"/>
      <c r="J1634" s="11"/>
      <c r="K1634" s="39"/>
      <c r="L1634" s="40"/>
      <c r="M1634" s="28"/>
      <c r="N1634" s="10"/>
      <c r="O1634" s="15"/>
      <c r="P1634" s="16"/>
      <c r="Q1634" s="15"/>
      <c r="R1634" s="17"/>
    </row>
    <row r="1635">
      <c r="A1635" s="38"/>
      <c r="B1635" s="8"/>
      <c r="C1635" s="9"/>
      <c r="D1635" s="8"/>
      <c r="E1635" s="8"/>
      <c r="F1635" s="8"/>
      <c r="G1635" s="9"/>
      <c r="H1635" s="8"/>
      <c r="I1635" s="8"/>
      <c r="J1635" s="11"/>
      <c r="K1635" s="39"/>
      <c r="L1635" s="40"/>
      <c r="M1635" s="28"/>
      <c r="N1635" s="10"/>
      <c r="O1635" s="15"/>
      <c r="P1635" s="16"/>
      <c r="Q1635" s="15"/>
      <c r="R1635" s="17"/>
    </row>
    <row r="1636">
      <c r="A1636" s="38"/>
      <c r="B1636" s="8"/>
      <c r="C1636" s="9"/>
      <c r="D1636" s="8"/>
      <c r="E1636" s="8"/>
      <c r="F1636" s="8"/>
      <c r="G1636" s="9"/>
      <c r="H1636" s="8"/>
      <c r="I1636" s="8"/>
      <c r="J1636" s="11"/>
      <c r="K1636" s="39"/>
      <c r="L1636" s="40"/>
      <c r="M1636" s="28"/>
      <c r="N1636" s="10"/>
      <c r="O1636" s="15"/>
      <c r="P1636" s="16"/>
      <c r="Q1636" s="15"/>
      <c r="R1636" s="17"/>
    </row>
    <row r="1637">
      <c r="A1637" s="38"/>
      <c r="B1637" s="8"/>
      <c r="C1637" s="9"/>
      <c r="D1637" s="8"/>
      <c r="E1637" s="8"/>
      <c r="F1637" s="8"/>
      <c r="G1637" s="9"/>
      <c r="H1637" s="8"/>
      <c r="I1637" s="8"/>
      <c r="J1637" s="11"/>
      <c r="K1637" s="39"/>
      <c r="L1637" s="40"/>
      <c r="M1637" s="28"/>
      <c r="N1637" s="10"/>
      <c r="O1637" s="15"/>
      <c r="P1637" s="16"/>
      <c r="Q1637" s="15"/>
      <c r="R1637" s="17"/>
    </row>
    <row r="1638">
      <c r="A1638" s="38"/>
      <c r="B1638" s="8"/>
      <c r="C1638" s="9"/>
      <c r="D1638" s="8"/>
      <c r="E1638" s="8"/>
      <c r="F1638" s="8"/>
      <c r="G1638" s="9"/>
      <c r="H1638" s="8"/>
      <c r="I1638" s="8"/>
      <c r="J1638" s="11"/>
      <c r="K1638" s="39"/>
      <c r="L1638" s="40"/>
      <c r="M1638" s="28"/>
      <c r="N1638" s="10"/>
      <c r="O1638" s="15"/>
      <c r="P1638" s="16"/>
      <c r="Q1638" s="15"/>
      <c r="R1638" s="17"/>
    </row>
    <row r="1639">
      <c r="A1639" s="38"/>
      <c r="B1639" s="8"/>
      <c r="C1639" s="9"/>
      <c r="D1639" s="8"/>
      <c r="E1639" s="8"/>
      <c r="F1639" s="8"/>
      <c r="G1639" s="9"/>
      <c r="H1639" s="8"/>
      <c r="I1639" s="8"/>
      <c r="J1639" s="11"/>
      <c r="K1639" s="39"/>
      <c r="L1639" s="40"/>
      <c r="M1639" s="28"/>
      <c r="N1639" s="10"/>
      <c r="O1639" s="15"/>
      <c r="P1639" s="16"/>
      <c r="Q1639" s="15"/>
      <c r="R1639" s="17"/>
    </row>
    <row r="1640">
      <c r="A1640" s="38"/>
      <c r="B1640" s="8"/>
      <c r="C1640" s="9"/>
      <c r="D1640" s="8"/>
      <c r="E1640" s="8"/>
      <c r="F1640" s="8"/>
      <c r="G1640" s="9"/>
      <c r="H1640" s="8"/>
      <c r="I1640" s="8"/>
      <c r="J1640" s="11"/>
      <c r="K1640" s="39"/>
      <c r="L1640" s="40"/>
      <c r="M1640" s="28"/>
      <c r="N1640" s="10"/>
      <c r="O1640" s="15"/>
      <c r="P1640" s="16"/>
      <c r="Q1640" s="15"/>
      <c r="R1640" s="17"/>
    </row>
    <row r="1641">
      <c r="A1641" s="38"/>
      <c r="B1641" s="8"/>
      <c r="C1641" s="9"/>
      <c r="D1641" s="8"/>
      <c r="E1641" s="8"/>
      <c r="F1641" s="8"/>
      <c r="G1641" s="9"/>
      <c r="H1641" s="8"/>
      <c r="I1641" s="8"/>
      <c r="J1641" s="11"/>
      <c r="K1641" s="39"/>
      <c r="L1641" s="40"/>
      <c r="M1641" s="28"/>
      <c r="N1641" s="10"/>
      <c r="O1641" s="15"/>
      <c r="P1641" s="16"/>
      <c r="Q1641" s="15"/>
      <c r="R1641" s="17"/>
    </row>
    <row r="1642">
      <c r="A1642" s="38"/>
      <c r="B1642" s="8"/>
      <c r="C1642" s="9"/>
      <c r="D1642" s="8"/>
      <c r="E1642" s="8"/>
      <c r="F1642" s="8"/>
      <c r="G1642" s="9"/>
      <c r="H1642" s="8"/>
      <c r="I1642" s="8"/>
      <c r="J1642" s="11"/>
      <c r="K1642" s="39"/>
      <c r="L1642" s="40"/>
      <c r="M1642" s="28"/>
      <c r="N1642" s="10"/>
      <c r="O1642" s="15"/>
      <c r="P1642" s="16"/>
      <c r="Q1642" s="15"/>
      <c r="R1642" s="17"/>
    </row>
    <row r="1643">
      <c r="A1643" s="38"/>
      <c r="B1643" s="8"/>
      <c r="C1643" s="9"/>
      <c r="D1643" s="8"/>
      <c r="E1643" s="8"/>
      <c r="F1643" s="8"/>
      <c r="G1643" s="9"/>
      <c r="H1643" s="8"/>
      <c r="I1643" s="8"/>
      <c r="J1643" s="11"/>
      <c r="K1643" s="39"/>
      <c r="L1643" s="40"/>
      <c r="M1643" s="28"/>
      <c r="N1643" s="10"/>
      <c r="O1643" s="15"/>
      <c r="P1643" s="16"/>
      <c r="Q1643" s="15"/>
      <c r="R1643" s="17"/>
    </row>
    <row r="1644">
      <c r="A1644" s="38"/>
      <c r="B1644" s="8"/>
      <c r="C1644" s="9"/>
      <c r="D1644" s="8"/>
      <c r="E1644" s="8"/>
      <c r="F1644" s="8"/>
      <c r="G1644" s="9"/>
      <c r="H1644" s="8"/>
      <c r="I1644" s="8"/>
      <c r="J1644" s="11"/>
      <c r="K1644" s="39"/>
      <c r="L1644" s="40"/>
      <c r="M1644" s="28"/>
      <c r="N1644" s="10"/>
      <c r="O1644" s="15"/>
      <c r="P1644" s="16"/>
      <c r="Q1644" s="15"/>
      <c r="R1644" s="17"/>
    </row>
    <row r="1645">
      <c r="A1645" s="38"/>
      <c r="B1645" s="8"/>
      <c r="C1645" s="9"/>
      <c r="D1645" s="8"/>
      <c r="E1645" s="8"/>
      <c r="F1645" s="8"/>
      <c r="G1645" s="9"/>
      <c r="H1645" s="8"/>
      <c r="I1645" s="8"/>
      <c r="J1645" s="11"/>
      <c r="K1645" s="39"/>
      <c r="L1645" s="40"/>
      <c r="M1645" s="28"/>
      <c r="N1645" s="10"/>
      <c r="O1645" s="15"/>
      <c r="P1645" s="16"/>
      <c r="Q1645" s="15"/>
      <c r="R1645" s="17"/>
    </row>
    <row r="1646">
      <c r="A1646" s="38"/>
      <c r="B1646" s="8"/>
      <c r="C1646" s="9"/>
      <c r="D1646" s="8"/>
      <c r="E1646" s="8"/>
      <c r="F1646" s="8"/>
      <c r="G1646" s="9"/>
      <c r="H1646" s="8"/>
      <c r="I1646" s="8"/>
      <c r="J1646" s="11"/>
      <c r="K1646" s="39"/>
      <c r="L1646" s="40"/>
      <c r="M1646" s="28"/>
      <c r="N1646" s="10"/>
      <c r="O1646" s="15"/>
      <c r="P1646" s="16"/>
      <c r="Q1646" s="15"/>
      <c r="R1646" s="17"/>
    </row>
    <row r="1647">
      <c r="A1647" s="38"/>
      <c r="B1647" s="8"/>
      <c r="C1647" s="9"/>
      <c r="D1647" s="8"/>
      <c r="E1647" s="8"/>
      <c r="F1647" s="8"/>
      <c r="G1647" s="9"/>
      <c r="H1647" s="8"/>
      <c r="I1647" s="8"/>
      <c r="J1647" s="11"/>
      <c r="K1647" s="39"/>
      <c r="L1647" s="40"/>
      <c r="M1647" s="28"/>
      <c r="N1647" s="10"/>
      <c r="O1647" s="15"/>
      <c r="P1647" s="16"/>
      <c r="Q1647" s="15"/>
      <c r="R1647" s="17"/>
    </row>
    <row r="1648">
      <c r="A1648" s="38"/>
      <c r="B1648" s="8"/>
      <c r="C1648" s="9"/>
      <c r="D1648" s="8"/>
      <c r="E1648" s="8"/>
      <c r="F1648" s="8"/>
      <c r="G1648" s="9"/>
      <c r="H1648" s="8"/>
      <c r="I1648" s="8"/>
      <c r="J1648" s="11"/>
      <c r="K1648" s="39"/>
      <c r="L1648" s="40"/>
      <c r="M1648" s="28"/>
      <c r="N1648" s="10"/>
      <c r="O1648" s="15"/>
      <c r="P1648" s="16"/>
      <c r="Q1648" s="15"/>
      <c r="R1648" s="17"/>
    </row>
  </sheetData>
  <customSheetViews>
    <customSheetView guid="{4232CABC-18E2-4A93-881A-C1D507A9002B}" filter="1" showAutoFilter="1">
      <autoFilter ref="$A$1:$R$963"/>
    </customSheetView>
    <customSheetView guid="{B30A6ECD-DC4B-4C79-A963-0A47EB4BD7DB}" filter="1" showAutoFilter="1">
      <autoFilter ref="$A$1:$R$963"/>
    </customSheetView>
    <customSheetView guid="{FDE02F73-79AF-4D7D-9DC8-4B3AA24D2526}" filter="1" showAutoFilter="1">
      <autoFilter ref="$A$1:$R$963"/>
    </customSheetView>
  </customSheetViews>
  <hyperlinks>
    <hyperlink r:id="rId2" location="reco_item_pos=0&amp;reco_backend=triggered_realestate_recommendations&amp;reco_backend_type=function&amp;reco_client=classi-realestate-vip&amp;reco_id=c6a80aae-7838-4e36-b2f9-8215a768200e" ref="M2"/>
    <hyperlink r:id="rId3" ref="M3"/>
    <hyperlink r:id="rId4" ref="M5"/>
    <hyperlink r:id="rId5" ref="M6"/>
    <hyperlink r:id="rId6" ref="M7"/>
    <hyperlink r:id="rId7" ref="M8"/>
    <hyperlink r:id="rId8" ref="M9"/>
    <hyperlink r:id="rId9" ref="M11"/>
    <hyperlink r:id="rId10" ref="M12"/>
    <hyperlink r:id="rId11" ref="M13"/>
    <hyperlink r:id="rId12" ref="M14"/>
    <hyperlink r:id="rId13" ref="M15"/>
    <hyperlink r:id="rId14" ref="M16"/>
    <hyperlink r:id="rId15" ref="M17"/>
    <hyperlink r:id="rId16" ref="M18"/>
    <hyperlink r:id="rId17" ref="M19"/>
    <hyperlink r:id="rId18" ref="M20"/>
    <hyperlink r:id="rId19" ref="M21"/>
    <hyperlink r:id="rId20" ref="M22"/>
    <hyperlink r:id="rId21" ref="M24"/>
    <hyperlink r:id="rId22" ref="M25"/>
    <hyperlink r:id="rId23" ref="M26"/>
    <hyperlink r:id="rId24" ref="M27"/>
    <hyperlink r:id="rId25" ref="M28"/>
    <hyperlink r:id="rId26" ref="M29"/>
    <hyperlink r:id="rId27" ref="M30"/>
    <hyperlink r:id="rId28" ref="M31"/>
    <hyperlink r:id="rId29" ref="M32"/>
    <hyperlink r:id="rId30" ref="M33"/>
    <hyperlink r:id="rId31" ref="M34"/>
    <hyperlink r:id="rId32" ref="M36"/>
    <hyperlink r:id="rId33" ref="M37"/>
    <hyperlink r:id="rId34" location=".XmQ0aqgzZhE" ref="M38"/>
    <hyperlink r:id="rId35" ref="M39"/>
    <hyperlink r:id="rId36" ref="M42"/>
    <hyperlink r:id="rId37" ref="M46"/>
    <hyperlink r:id="rId38" ref="M47"/>
    <hyperlink r:id="rId39" location="!gallery" ref="M48"/>
    <hyperlink r:id="rId40" ref="M49"/>
    <hyperlink r:id="rId41" ref="M50"/>
    <hyperlink r:id="rId42" ref="M51"/>
    <hyperlink r:id="rId43" ref="M52"/>
    <hyperlink r:id="rId44" ref="M53"/>
    <hyperlink r:id="rId45" ref="M54"/>
    <hyperlink r:id="rId46" ref="M55"/>
    <hyperlink r:id="rId47" ref="M57"/>
    <hyperlink r:id="rId48" ref="M58"/>
    <hyperlink r:id="rId49" ref="M59"/>
    <hyperlink r:id="rId50" ref="M61"/>
    <hyperlink r:id="rId51" ref="M62"/>
    <hyperlink r:id="rId52" location="/" ref="M63"/>
    <hyperlink r:id="rId53" ref="M64"/>
    <hyperlink r:id="rId54" ref="M65"/>
    <hyperlink r:id="rId55" ref="M66"/>
    <hyperlink r:id="rId56" ref="M67"/>
    <hyperlink r:id="rId57" location="/" ref="M68"/>
    <hyperlink r:id="rId58" ref="M69"/>
    <hyperlink r:id="rId59" ref="M70"/>
    <hyperlink r:id="rId60" ref="M71"/>
    <hyperlink r:id="rId61" ref="M72"/>
    <hyperlink r:id="rId62" ref="M73"/>
    <hyperlink r:id="rId63" ref="M74"/>
    <hyperlink r:id="rId64" ref="M75"/>
    <hyperlink r:id="rId65" ref="M76"/>
    <hyperlink r:id="rId66" location="/" ref="M77"/>
    <hyperlink r:id="rId67" ref="M78"/>
    <hyperlink r:id="rId68" ref="M79"/>
    <hyperlink r:id="rId69" ref="M80"/>
    <hyperlink r:id="rId70" location="/" ref="M81"/>
    <hyperlink r:id="rId71" ref="M82"/>
    <hyperlink r:id="rId72" ref="M83"/>
    <hyperlink r:id="rId73" ref="M84"/>
    <hyperlink r:id="rId74" ref="M85"/>
    <hyperlink r:id="rId75" ref="M86"/>
    <hyperlink r:id="rId76" ref="M87"/>
    <hyperlink r:id="rId77" ref="M88"/>
    <hyperlink r:id="rId78" ref="M89"/>
    <hyperlink r:id="rId79" ref="M91"/>
    <hyperlink r:id="rId80" ref="M92"/>
    <hyperlink r:id="rId81" ref="M93"/>
    <hyperlink r:id="rId82" ref="M94"/>
    <hyperlink r:id="rId83" ref="M95"/>
    <hyperlink r:id="rId84" ref="M98"/>
    <hyperlink r:id="rId85" ref="M99"/>
    <hyperlink r:id="rId86" ref="M100"/>
    <hyperlink r:id="rId87" ref="M101"/>
    <hyperlink r:id="rId88" ref="M102"/>
    <hyperlink r:id="rId89" ref="M103"/>
    <hyperlink r:id="rId90" ref="M104"/>
    <hyperlink r:id="rId91" ref="M105"/>
    <hyperlink r:id="rId92" ref="M106"/>
    <hyperlink r:id="rId93" ref="M107"/>
    <hyperlink r:id="rId94" ref="M108"/>
    <hyperlink r:id="rId95" ref="M109"/>
    <hyperlink r:id="rId96" ref="M110"/>
    <hyperlink r:id="rId97" ref="M111"/>
    <hyperlink r:id="rId98" ref="M112"/>
    <hyperlink r:id="rId99" ref="M113"/>
    <hyperlink r:id="rId100" ref="M114"/>
    <hyperlink r:id="rId101" ref="M115"/>
    <hyperlink r:id="rId102" ref="M116"/>
    <hyperlink r:id="rId103" ref="M117"/>
    <hyperlink r:id="rId104" ref="M118"/>
    <hyperlink r:id="rId105" ref="M119"/>
    <hyperlink r:id="rId106" ref="M120"/>
    <hyperlink r:id="rId107" ref="M121"/>
    <hyperlink r:id="rId108" ref="M122"/>
    <hyperlink r:id="rId109" ref="M123"/>
    <hyperlink r:id="rId110" ref="M124"/>
    <hyperlink r:id="rId111" ref="M125"/>
    <hyperlink r:id="rId112" ref="M126"/>
    <hyperlink r:id="rId113" ref="M127"/>
    <hyperlink r:id="rId114" ref="M128"/>
    <hyperlink r:id="rId115" ref="M129"/>
    <hyperlink r:id="rId116" ref="M130"/>
    <hyperlink r:id="rId117" ref="M131"/>
    <hyperlink r:id="rId118" ref="M132"/>
    <hyperlink r:id="rId119" ref="M133"/>
    <hyperlink r:id="rId120" ref="M134"/>
    <hyperlink r:id="rId121" ref="M135"/>
    <hyperlink r:id="rId122" ref="M136"/>
    <hyperlink r:id="rId123" ref="M137"/>
    <hyperlink r:id="rId124" ref="M138"/>
    <hyperlink r:id="rId125" ref="M139"/>
    <hyperlink r:id="rId126" ref="M140"/>
    <hyperlink r:id="rId127" ref="M141"/>
    <hyperlink r:id="rId128" ref="M142"/>
    <hyperlink r:id="rId129" ref="M143"/>
    <hyperlink r:id="rId130" ref="M144"/>
    <hyperlink r:id="rId131" ref="M145"/>
    <hyperlink r:id="rId132" ref="M146"/>
    <hyperlink r:id="rId133" ref="M147"/>
    <hyperlink r:id="rId134" ref="M148"/>
    <hyperlink r:id="rId135" ref="M149"/>
    <hyperlink r:id="rId136" ref="M150"/>
    <hyperlink r:id="rId137" ref="M151"/>
    <hyperlink r:id="rId138" ref="M152"/>
    <hyperlink r:id="rId139" ref="M153"/>
    <hyperlink r:id="rId140" ref="M154"/>
    <hyperlink r:id="rId141" ref="M157"/>
    <hyperlink r:id="rId142" ref="M158"/>
    <hyperlink r:id="rId143" ref="N162"/>
    <hyperlink r:id="rId144" ref="M165"/>
    <hyperlink r:id="rId145" ref="M169"/>
    <hyperlink r:id="rId146" ref="N169"/>
    <hyperlink r:id="rId147" ref="M171"/>
    <hyperlink r:id="rId148" ref="M175"/>
    <hyperlink r:id="rId149" ref="M178"/>
    <hyperlink r:id="rId150" ref="M180"/>
    <hyperlink r:id="rId151" ref="M186"/>
    <hyperlink r:id="rId152" ref="M190"/>
    <hyperlink r:id="rId153" ref="M195"/>
    <hyperlink r:id="rId154" ref="M196"/>
    <hyperlink r:id="rId155" ref="M197"/>
    <hyperlink r:id="rId156" ref="M201"/>
    <hyperlink r:id="rId157" ref="M202"/>
    <hyperlink r:id="rId158" ref="M203"/>
    <hyperlink r:id="rId159" ref="M204"/>
    <hyperlink r:id="rId160" ref="M206"/>
    <hyperlink r:id="rId161" ref="M207"/>
    <hyperlink r:id="rId162" ref="M208"/>
    <hyperlink r:id="rId163" ref="M210"/>
    <hyperlink r:id="rId164" ref="M211"/>
    <hyperlink r:id="rId165" ref="M212"/>
    <hyperlink r:id="rId166" ref="M213"/>
    <hyperlink r:id="rId167" ref="M214"/>
    <hyperlink r:id="rId168" ref="M215"/>
    <hyperlink r:id="rId169" ref="M216"/>
    <hyperlink r:id="rId170" ref="M217"/>
    <hyperlink r:id="rId171" ref="M218"/>
    <hyperlink r:id="rId172" ref="M220"/>
    <hyperlink r:id="rId173" ref="M221"/>
    <hyperlink r:id="rId174" ref="M223"/>
    <hyperlink r:id="rId175" ref="M224"/>
    <hyperlink r:id="rId176" ref="M225"/>
    <hyperlink r:id="rId177" ref="M226"/>
    <hyperlink r:id="rId178" ref="N226"/>
    <hyperlink r:id="rId179" ref="M227"/>
    <hyperlink r:id="rId180" ref="M228"/>
    <hyperlink r:id="rId181" ref="M229"/>
    <hyperlink r:id="rId182" ref="M231"/>
    <hyperlink r:id="rId183" ref="M235"/>
    <hyperlink r:id="rId184" ref="M237"/>
    <hyperlink r:id="rId185" ref="M239"/>
    <hyperlink r:id="rId186" ref="M240"/>
    <hyperlink r:id="rId187" ref="M241"/>
    <hyperlink r:id="rId188" ref="M242"/>
    <hyperlink r:id="rId189" ref="M243"/>
    <hyperlink r:id="rId190" ref="M244"/>
    <hyperlink r:id="rId191" ref="M245"/>
    <hyperlink r:id="rId192" ref="M246"/>
    <hyperlink r:id="rId193" ref="M247"/>
    <hyperlink r:id="rId194" ref="M248"/>
    <hyperlink r:id="rId195" ref="M249"/>
    <hyperlink r:id="rId196" ref="M250"/>
    <hyperlink r:id="rId197" ref="M251"/>
    <hyperlink r:id="rId198" ref="M252"/>
    <hyperlink r:id="rId199" ref="M253"/>
    <hyperlink r:id="rId200" ref="M254"/>
    <hyperlink r:id="rId201" ref="M255"/>
    <hyperlink r:id="rId202" ref="M256"/>
    <hyperlink r:id="rId203" ref="M257"/>
    <hyperlink r:id="rId204" ref="M258"/>
    <hyperlink r:id="rId205" ref="M259"/>
    <hyperlink r:id="rId206" ref="M260"/>
    <hyperlink r:id="rId207" ref="M261"/>
    <hyperlink r:id="rId208" ref="M263"/>
    <hyperlink r:id="rId209" ref="M265"/>
    <hyperlink r:id="rId210" ref="M266"/>
    <hyperlink r:id="rId211" ref="M267"/>
    <hyperlink r:id="rId212" ref="M268"/>
    <hyperlink r:id="rId213" ref="M269"/>
    <hyperlink r:id="rId214" ref="M270"/>
    <hyperlink r:id="rId215" ref="M271"/>
    <hyperlink r:id="rId216" ref="M272"/>
    <hyperlink r:id="rId217" ref="M273"/>
    <hyperlink r:id="rId218" ref="M274"/>
    <hyperlink r:id="rId219" ref="M275"/>
    <hyperlink r:id="rId220" ref="M276"/>
    <hyperlink r:id="rId221" ref="M277"/>
    <hyperlink r:id="rId222" ref="M278"/>
    <hyperlink r:id="rId223" ref="M279"/>
    <hyperlink r:id="rId224" ref="M280"/>
    <hyperlink r:id="rId225" ref="M281"/>
    <hyperlink r:id="rId226" ref="M282"/>
    <hyperlink r:id="rId227" ref="M283"/>
    <hyperlink r:id="rId228" ref="M284"/>
    <hyperlink r:id="rId229" ref="M285"/>
    <hyperlink r:id="rId230" ref="M286"/>
    <hyperlink r:id="rId231" ref="M287"/>
    <hyperlink r:id="rId232" ref="M288"/>
    <hyperlink r:id="rId233" ref="M289"/>
    <hyperlink r:id="rId234" ref="M290"/>
    <hyperlink r:id="rId235" ref="M291"/>
    <hyperlink r:id="rId236" ref="M292"/>
    <hyperlink r:id="rId237" ref="M293"/>
    <hyperlink r:id="rId238" ref="M294"/>
    <hyperlink r:id="rId239" ref="M295"/>
    <hyperlink r:id="rId240" ref="M296"/>
    <hyperlink r:id="rId241" ref="M297"/>
    <hyperlink r:id="rId242" ref="M298"/>
    <hyperlink r:id="rId243" ref="M299"/>
    <hyperlink r:id="rId244" ref="M300"/>
    <hyperlink r:id="rId245" ref="M301"/>
    <hyperlink r:id="rId246" ref="M302"/>
    <hyperlink r:id="rId247" ref="M303"/>
    <hyperlink r:id="rId248" ref="M304"/>
    <hyperlink r:id="rId249" ref="M307"/>
    <hyperlink r:id="rId250" ref="M308"/>
    <hyperlink r:id="rId251" ref="M309"/>
    <hyperlink r:id="rId252" ref="M310"/>
    <hyperlink r:id="rId253" ref="M311"/>
    <hyperlink r:id="rId254" ref="M312"/>
    <hyperlink r:id="rId255" ref="M313"/>
    <hyperlink r:id="rId256" ref="M314"/>
    <hyperlink r:id="rId257" ref="M316"/>
    <hyperlink r:id="rId258" ref="M317"/>
    <hyperlink r:id="rId259" ref="M318"/>
    <hyperlink r:id="rId260" ref="M319"/>
    <hyperlink r:id="rId261" ref="M320"/>
    <hyperlink r:id="rId262" ref="M321"/>
    <hyperlink r:id="rId263" ref="M322"/>
    <hyperlink r:id="rId264" ref="M323"/>
    <hyperlink r:id="rId265" ref="M324"/>
    <hyperlink r:id="rId266" ref="M325"/>
    <hyperlink r:id="rId267" ref="M326"/>
    <hyperlink r:id="rId268" ref="M327"/>
    <hyperlink r:id="rId269" ref="M328"/>
    <hyperlink r:id="rId270" ref="M329"/>
    <hyperlink r:id="rId271" ref="M330"/>
    <hyperlink r:id="rId272" ref="M332"/>
    <hyperlink r:id="rId273" ref="M333"/>
    <hyperlink r:id="rId274" ref="M334"/>
    <hyperlink r:id="rId275" ref="M335"/>
    <hyperlink r:id="rId276" ref="M336"/>
    <hyperlink r:id="rId277" ref="M337"/>
    <hyperlink r:id="rId278" ref="M338"/>
    <hyperlink r:id="rId279" ref="M339"/>
    <hyperlink r:id="rId280" ref="M340"/>
    <hyperlink r:id="rId281" ref="M341"/>
    <hyperlink r:id="rId282" ref="M342"/>
    <hyperlink r:id="rId283" ref="M343"/>
    <hyperlink r:id="rId284" ref="M345"/>
    <hyperlink r:id="rId285" ref="M347"/>
    <hyperlink r:id="rId286" ref="M348"/>
    <hyperlink r:id="rId287" ref="M349"/>
    <hyperlink r:id="rId288" ref="M350"/>
    <hyperlink r:id="rId289" ref="M351"/>
    <hyperlink r:id="rId290" ref="M352"/>
    <hyperlink r:id="rId291" ref="M353"/>
    <hyperlink r:id="rId292" ref="M354"/>
    <hyperlink r:id="rId293" ref="M355"/>
    <hyperlink r:id="rId294" ref="M356"/>
    <hyperlink r:id="rId295" ref="M358"/>
    <hyperlink r:id="rId296" ref="M360"/>
    <hyperlink r:id="rId297" ref="M361"/>
    <hyperlink r:id="rId298" ref="M362"/>
    <hyperlink r:id="rId299" ref="M363"/>
    <hyperlink r:id="rId300" ref="M364"/>
    <hyperlink r:id="rId301" ref="M366"/>
    <hyperlink r:id="rId302" ref="M367"/>
    <hyperlink r:id="rId303" ref="M368"/>
    <hyperlink r:id="rId304" ref="M369"/>
    <hyperlink r:id="rId305" ref="M372"/>
    <hyperlink r:id="rId306" ref="M373"/>
    <hyperlink r:id="rId307" ref="M374"/>
    <hyperlink r:id="rId308" ref="M375"/>
    <hyperlink r:id="rId309" ref="M376"/>
    <hyperlink r:id="rId310" ref="M378"/>
    <hyperlink r:id="rId311" ref="M379"/>
    <hyperlink r:id="rId312" ref="M380"/>
    <hyperlink r:id="rId313" ref="M381"/>
    <hyperlink r:id="rId314" ref="M382"/>
    <hyperlink r:id="rId315" ref="M383"/>
    <hyperlink r:id="rId316" ref="M384"/>
    <hyperlink r:id="rId317" ref="M385"/>
    <hyperlink r:id="rId318" location="lil-streetViewTab" ref="M386"/>
    <hyperlink r:id="rId319" ref="M387"/>
    <hyperlink r:id="rId320" ref="M388"/>
    <hyperlink r:id="rId321" ref="M390"/>
    <hyperlink r:id="rId322" ref="M391"/>
    <hyperlink r:id="rId323" ref="M392"/>
    <hyperlink r:id="rId324" ref="M393"/>
    <hyperlink r:id="rId325" ref="M394"/>
    <hyperlink r:id="rId326" ref="M395"/>
    <hyperlink r:id="rId327" ref="M396"/>
    <hyperlink r:id="rId328" ref="M397"/>
    <hyperlink r:id="rId329" ref="M399"/>
    <hyperlink r:id="rId330" ref="M400"/>
    <hyperlink r:id="rId331" ref="M402"/>
    <hyperlink r:id="rId332" ref="M405"/>
    <hyperlink r:id="rId333" ref="M406"/>
    <hyperlink r:id="rId334" ref="M407"/>
    <hyperlink r:id="rId335" ref="M408"/>
    <hyperlink r:id="rId336" ref="M409"/>
    <hyperlink r:id="rId337" ref="M410"/>
    <hyperlink r:id="rId338" ref="M411"/>
    <hyperlink r:id="rId339" ref="M412"/>
    <hyperlink r:id="rId340" ref="M413"/>
    <hyperlink r:id="rId341" ref="M414"/>
    <hyperlink r:id="rId342" ref="M415"/>
    <hyperlink r:id="rId343" ref="M416"/>
    <hyperlink r:id="rId344" ref="M417"/>
    <hyperlink r:id="rId345" ref="M418"/>
    <hyperlink r:id="rId346" ref="M419"/>
    <hyperlink r:id="rId347" ref="M420"/>
    <hyperlink r:id="rId348" ref="M421"/>
    <hyperlink r:id="rId349" ref="M422"/>
    <hyperlink r:id="rId350" ref="M423"/>
    <hyperlink r:id="rId351" ref="M424"/>
    <hyperlink r:id="rId352" ref="M425"/>
    <hyperlink r:id="rId353" ref="M426"/>
    <hyperlink r:id="rId354" ref="M427"/>
    <hyperlink r:id="rId355" ref="M428"/>
    <hyperlink r:id="rId356" ref="M430"/>
    <hyperlink r:id="rId357" ref="M432"/>
    <hyperlink r:id="rId358" ref="M433"/>
    <hyperlink r:id="rId359" ref="M434"/>
    <hyperlink r:id="rId360" ref="M435"/>
    <hyperlink r:id="rId361" ref="M436"/>
    <hyperlink r:id="rId362" ref="M437"/>
    <hyperlink r:id="rId363" ref="M438"/>
    <hyperlink r:id="rId364" ref="M439"/>
    <hyperlink r:id="rId365" ref="M440"/>
    <hyperlink r:id="rId366" ref="M441"/>
    <hyperlink r:id="rId367" ref="M442"/>
    <hyperlink r:id="rId368" ref="M443"/>
    <hyperlink r:id="rId369" ref="M444"/>
    <hyperlink r:id="rId370" ref="M445"/>
    <hyperlink r:id="rId371" ref="M446"/>
    <hyperlink r:id="rId372" ref="M447"/>
    <hyperlink r:id="rId373" ref="M448"/>
    <hyperlink r:id="rId374" ref="M449"/>
    <hyperlink r:id="rId375" ref="M450"/>
    <hyperlink r:id="rId376" ref="M451"/>
    <hyperlink r:id="rId377" ref="M452"/>
    <hyperlink r:id="rId378" ref="M453"/>
    <hyperlink r:id="rId379" ref="M454"/>
    <hyperlink r:id="rId380" ref="M455"/>
    <hyperlink r:id="rId381" ref="M456"/>
    <hyperlink r:id="rId382" ref="M457"/>
    <hyperlink r:id="rId383" ref="M458"/>
    <hyperlink r:id="rId384" ref="M459"/>
    <hyperlink r:id="rId385" ref="M460"/>
    <hyperlink r:id="rId386" ref="M461"/>
    <hyperlink r:id="rId387" ref="M462"/>
    <hyperlink r:id="rId388" ref="M463"/>
    <hyperlink r:id="rId389" ref="M464"/>
    <hyperlink r:id="rId390" ref="M465"/>
    <hyperlink r:id="rId391" ref="M466"/>
    <hyperlink r:id="rId392" ref="M467"/>
    <hyperlink r:id="rId393" ref="M468"/>
    <hyperlink r:id="rId394" ref="M469"/>
    <hyperlink r:id="rId395" ref="M470"/>
    <hyperlink r:id="rId396" ref="M471"/>
    <hyperlink r:id="rId397" ref="M472"/>
    <hyperlink r:id="rId398" ref="M474"/>
    <hyperlink r:id="rId399" ref="M475"/>
    <hyperlink r:id="rId400" ref="M476"/>
    <hyperlink r:id="rId401" ref="N476"/>
    <hyperlink r:id="rId402" ref="M477"/>
    <hyperlink r:id="rId403" ref="M482"/>
    <hyperlink r:id="rId404" ref="M484"/>
    <hyperlink r:id="rId405" ref="M485"/>
    <hyperlink r:id="rId406" ref="M486"/>
    <hyperlink r:id="rId407" ref="M488"/>
    <hyperlink r:id="rId408" ref="M490"/>
    <hyperlink r:id="rId409" ref="M492"/>
    <hyperlink r:id="rId410" ref="M494"/>
    <hyperlink r:id="rId411" ref="M495"/>
    <hyperlink r:id="rId412" ref="M496"/>
    <hyperlink r:id="rId413" ref="M498"/>
    <hyperlink r:id="rId414" ref="M499"/>
    <hyperlink r:id="rId415" ref="M501"/>
    <hyperlink r:id="rId416" ref="M505"/>
    <hyperlink r:id="rId417" ref="M506"/>
    <hyperlink r:id="rId418" ref="M507"/>
    <hyperlink r:id="rId419" ref="M508"/>
    <hyperlink r:id="rId420" ref="M509"/>
    <hyperlink r:id="rId421" ref="M510"/>
    <hyperlink r:id="rId422" ref="M511"/>
    <hyperlink r:id="rId423" ref="M512"/>
    <hyperlink r:id="rId424" ref="M513"/>
    <hyperlink r:id="rId425" ref="M517"/>
    <hyperlink r:id="rId426" ref="M519"/>
    <hyperlink r:id="rId427" ref="M521"/>
    <hyperlink r:id="rId428" ref="M522"/>
    <hyperlink r:id="rId429" ref="M524"/>
    <hyperlink r:id="rId430" ref="M527"/>
    <hyperlink r:id="rId431" ref="M528"/>
    <hyperlink r:id="rId432" ref="M529"/>
    <hyperlink r:id="rId433" ref="M530"/>
    <hyperlink r:id="rId434" ref="M532"/>
    <hyperlink r:id="rId435" ref="M533"/>
    <hyperlink r:id="rId436" ref="M535"/>
    <hyperlink r:id="rId437" ref="M536"/>
    <hyperlink r:id="rId438" ref="M538"/>
    <hyperlink r:id="rId439" ref="M540"/>
    <hyperlink r:id="rId440" ref="M541"/>
    <hyperlink r:id="rId441" ref="M542"/>
    <hyperlink r:id="rId442" ref="M543"/>
    <hyperlink r:id="rId443" ref="M544"/>
    <hyperlink r:id="rId444" ref="M545"/>
    <hyperlink r:id="rId445" ref="M548"/>
    <hyperlink r:id="rId446" ref="M549"/>
    <hyperlink r:id="rId447" ref="M550"/>
    <hyperlink r:id="rId448" ref="M551"/>
    <hyperlink r:id="rId449" ref="M553"/>
    <hyperlink r:id="rId450" ref="M554"/>
    <hyperlink r:id="rId451" ref="M555"/>
    <hyperlink r:id="rId452" ref="M556"/>
    <hyperlink r:id="rId453" ref="M557"/>
    <hyperlink r:id="rId454" ref="M558"/>
    <hyperlink r:id="rId455" ref="M559"/>
    <hyperlink r:id="rId456" ref="M561"/>
    <hyperlink r:id="rId457" ref="M563"/>
    <hyperlink r:id="rId458" ref="M564"/>
    <hyperlink r:id="rId459" ref="M565"/>
    <hyperlink r:id="rId460" ref="M567"/>
    <hyperlink r:id="rId461" ref="M568"/>
    <hyperlink r:id="rId462" ref="M569"/>
    <hyperlink r:id="rId463" ref="M570"/>
    <hyperlink r:id="rId464" ref="M571"/>
    <hyperlink r:id="rId465" ref="M572"/>
    <hyperlink r:id="rId466" ref="M573"/>
    <hyperlink r:id="rId467" ref="M575"/>
    <hyperlink r:id="rId468" ref="M576"/>
    <hyperlink r:id="rId469" ref="M577"/>
    <hyperlink r:id="rId470" ref="M578"/>
    <hyperlink r:id="rId471" ref="M579"/>
    <hyperlink r:id="rId472" ref="M581"/>
    <hyperlink r:id="rId473" ref="M582"/>
    <hyperlink r:id="rId474" ref="M583"/>
    <hyperlink r:id="rId475" ref="M585"/>
    <hyperlink r:id="rId476" ref="N585"/>
    <hyperlink r:id="rId477" ref="M586"/>
    <hyperlink r:id="rId478" ref="M587"/>
    <hyperlink r:id="rId479" ref="M588"/>
    <hyperlink r:id="rId480" ref="M590"/>
    <hyperlink r:id="rId481" ref="M591"/>
    <hyperlink r:id="rId482" ref="M592"/>
    <hyperlink r:id="rId483" ref="M594"/>
    <hyperlink r:id="rId484" ref="M595"/>
    <hyperlink r:id="rId485" ref="M596"/>
    <hyperlink r:id="rId486" ref="M597"/>
    <hyperlink r:id="rId487" ref="M598"/>
    <hyperlink r:id="rId488" ref="M600"/>
    <hyperlink r:id="rId489" ref="M601"/>
    <hyperlink r:id="rId490" ref="M602"/>
    <hyperlink r:id="rId491" ref="M603"/>
    <hyperlink r:id="rId492" ref="M604"/>
    <hyperlink r:id="rId493" ref="M605"/>
    <hyperlink r:id="rId494" ref="M607"/>
    <hyperlink r:id="rId495" ref="M608"/>
    <hyperlink r:id="rId496" ref="M609"/>
    <hyperlink r:id="rId497" ref="M610"/>
    <hyperlink r:id="rId498" ref="M611"/>
    <hyperlink r:id="rId499" ref="M612"/>
    <hyperlink r:id="rId500" ref="M613"/>
    <hyperlink r:id="rId501" ref="M614"/>
    <hyperlink r:id="rId502" ref="M615"/>
    <hyperlink r:id="rId503" ref="M616"/>
    <hyperlink r:id="rId504" ref="M617"/>
    <hyperlink r:id="rId505" ref="M618"/>
    <hyperlink r:id="rId506" ref="M619"/>
    <hyperlink r:id="rId507" ref="M620"/>
    <hyperlink r:id="rId508" ref="M621"/>
    <hyperlink r:id="rId509" ref="M622"/>
    <hyperlink r:id="rId510" ref="M623"/>
    <hyperlink r:id="rId511" ref="M624"/>
    <hyperlink r:id="rId512" ref="M625"/>
    <hyperlink r:id="rId513" ref="M626"/>
    <hyperlink r:id="rId514" ref="M627"/>
    <hyperlink r:id="rId515" ref="M628"/>
    <hyperlink r:id="rId516" ref="M629"/>
    <hyperlink r:id="rId517" ref="M630"/>
    <hyperlink r:id="rId518" ref="M631"/>
    <hyperlink r:id="rId519" ref="M632"/>
    <hyperlink r:id="rId520" ref="M633"/>
    <hyperlink r:id="rId521" ref="M634"/>
    <hyperlink r:id="rId522" ref="M635"/>
    <hyperlink r:id="rId523" ref="M636"/>
    <hyperlink r:id="rId524" ref="M637"/>
    <hyperlink r:id="rId525" ref="M638"/>
    <hyperlink r:id="rId526" ref="M639"/>
    <hyperlink r:id="rId527" ref="M640"/>
    <hyperlink r:id="rId528" ref="M641"/>
    <hyperlink r:id="rId529" ref="M642"/>
    <hyperlink r:id="rId530" ref="M643"/>
    <hyperlink r:id="rId531" ref="M644"/>
    <hyperlink r:id="rId532" ref="M645"/>
    <hyperlink r:id="rId533" ref="M646"/>
    <hyperlink r:id="rId534" ref="M647"/>
    <hyperlink r:id="rId535" ref="M648"/>
    <hyperlink r:id="rId536" ref="M649"/>
    <hyperlink r:id="rId537" ref="M650"/>
    <hyperlink r:id="rId538" ref="M651"/>
    <hyperlink r:id="rId539" ref="M652"/>
    <hyperlink r:id="rId540" ref="M653"/>
    <hyperlink r:id="rId541" ref="M654"/>
    <hyperlink r:id="rId542" ref="M655"/>
    <hyperlink r:id="rId543" ref="M656"/>
    <hyperlink r:id="rId544" ref="M657"/>
    <hyperlink r:id="rId545" ref="M658"/>
    <hyperlink r:id="rId546" ref="M659"/>
    <hyperlink r:id="rId547" ref="M661"/>
    <hyperlink r:id="rId548" ref="M662"/>
    <hyperlink r:id="rId549" ref="M663"/>
    <hyperlink r:id="rId550" ref="M664"/>
    <hyperlink r:id="rId551" ref="M665"/>
    <hyperlink r:id="rId552" ref="M666"/>
    <hyperlink r:id="rId553" ref="M667"/>
    <hyperlink r:id="rId554" ref="N668"/>
    <hyperlink r:id="rId555" ref="M669"/>
    <hyperlink r:id="rId556" ref="M670"/>
    <hyperlink r:id="rId557" ref="M671"/>
    <hyperlink r:id="rId558" ref="M672"/>
    <hyperlink r:id="rId559" ref="M673"/>
    <hyperlink r:id="rId560" ref="M674"/>
    <hyperlink r:id="rId561" ref="M675"/>
    <hyperlink r:id="rId562" ref="M676"/>
    <hyperlink r:id="rId563" ref="M677"/>
    <hyperlink r:id="rId564" ref="M678"/>
    <hyperlink r:id="rId565" ref="M679"/>
    <hyperlink r:id="rId566" ref="M680"/>
    <hyperlink r:id="rId567" location="photo1" ref="M681"/>
    <hyperlink r:id="rId568" ref="M682"/>
    <hyperlink r:id="rId569" ref="M683"/>
    <hyperlink r:id="rId570" ref="M684"/>
    <hyperlink r:id="rId571" ref="M685"/>
    <hyperlink r:id="rId572" ref="M686"/>
    <hyperlink r:id="rId573" ref="M687"/>
    <hyperlink r:id="rId574" ref="M688"/>
    <hyperlink r:id="rId575" ref="M689"/>
    <hyperlink r:id="rId576" ref="M690"/>
    <hyperlink r:id="rId577" ref="M691"/>
    <hyperlink r:id="rId578" ref="M692"/>
    <hyperlink r:id="rId579" ref="M694"/>
    <hyperlink r:id="rId580" ref="M695"/>
    <hyperlink r:id="rId581" ref="M696"/>
    <hyperlink r:id="rId582" ref="M697"/>
    <hyperlink r:id="rId583" ref="M698"/>
    <hyperlink r:id="rId584" ref="M699"/>
    <hyperlink r:id="rId585" ref="M700"/>
    <hyperlink r:id="rId586" ref="M701"/>
    <hyperlink r:id="rId587" ref="M702"/>
    <hyperlink r:id="rId588" ref="M704"/>
    <hyperlink r:id="rId589" ref="M705"/>
    <hyperlink r:id="rId590" ref="M709"/>
    <hyperlink r:id="rId591" ref="M710"/>
    <hyperlink r:id="rId592" ref="M714"/>
    <hyperlink r:id="rId593" ref="M715"/>
    <hyperlink r:id="rId594" ref="M716"/>
    <hyperlink r:id="rId595" ref="M717"/>
    <hyperlink r:id="rId596" ref="M718"/>
    <hyperlink r:id="rId597" ref="M719"/>
    <hyperlink r:id="rId598" ref="M720"/>
    <hyperlink r:id="rId599" ref="M722"/>
    <hyperlink r:id="rId600" ref="M723"/>
    <hyperlink r:id="rId601" ref="M725"/>
    <hyperlink r:id="rId602" ref="M726"/>
    <hyperlink r:id="rId603" ref="M727"/>
    <hyperlink r:id="rId604" ref="M728"/>
    <hyperlink r:id="rId605" ref="M730"/>
    <hyperlink r:id="rId606" ref="M731"/>
    <hyperlink r:id="rId607" ref="M732"/>
    <hyperlink r:id="rId608" ref="M733"/>
    <hyperlink r:id="rId609" ref="M736"/>
    <hyperlink r:id="rId610" ref="M738"/>
    <hyperlink r:id="rId611" ref="M739"/>
    <hyperlink r:id="rId612" ref="M741"/>
    <hyperlink r:id="rId613" ref="M742"/>
    <hyperlink r:id="rId614" ref="M745"/>
    <hyperlink r:id="rId615" ref="M746"/>
    <hyperlink r:id="rId616" ref="M748"/>
    <hyperlink r:id="rId617" ref="M749"/>
    <hyperlink r:id="rId618" ref="M750"/>
    <hyperlink r:id="rId619" ref="M751"/>
    <hyperlink r:id="rId620" ref="M752"/>
    <hyperlink r:id="rId621" ref="M753"/>
    <hyperlink r:id="rId622" ref="M754"/>
    <hyperlink r:id="rId623" ref="M755"/>
    <hyperlink r:id="rId624" ref="M756"/>
    <hyperlink r:id="rId625" ref="M757"/>
    <hyperlink r:id="rId626" ref="M758"/>
    <hyperlink r:id="rId627" ref="M759"/>
    <hyperlink r:id="rId628" ref="M760"/>
    <hyperlink r:id="rId629" ref="M761"/>
    <hyperlink r:id="rId630" ref="M762"/>
    <hyperlink r:id="rId631" ref="M763"/>
    <hyperlink r:id="rId632" ref="M764"/>
    <hyperlink r:id="rId633" ref="M765"/>
    <hyperlink r:id="rId634" ref="M766"/>
    <hyperlink r:id="rId635" ref="M767"/>
    <hyperlink r:id="rId636" ref="M768"/>
    <hyperlink r:id="rId637" ref="M770"/>
    <hyperlink r:id="rId638" ref="M771"/>
    <hyperlink r:id="rId639" location="photo5" ref="M772"/>
    <hyperlink r:id="rId640" ref="M773"/>
    <hyperlink r:id="rId641" ref="M774"/>
    <hyperlink r:id="rId642" ref="M775"/>
    <hyperlink r:id="rId643" ref="M776"/>
    <hyperlink r:id="rId644" ref="M777"/>
    <hyperlink r:id="rId645" ref="M778"/>
    <hyperlink r:id="rId646" ref="M779"/>
    <hyperlink r:id="rId647" ref="M780"/>
    <hyperlink r:id="rId648" ref="M781"/>
    <hyperlink r:id="rId649" ref="M782"/>
    <hyperlink r:id="rId650" ref="M783"/>
    <hyperlink r:id="rId651" ref="M784"/>
    <hyperlink r:id="rId652" ref="M786"/>
    <hyperlink r:id="rId653" ref="M787"/>
    <hyperlink r:id="rId654" ref="M788"/>
    <hyperlink r:id="rId655" ref="M790"/>
    <hyperlink r:id="rId656" ref="M791"/>
    <hyperlink r:id="rId657" ref="M792"/>
    <hyperlink r:id="rId658" ref="M793"/>
    <hyperlink r:id="rId659" ref="M794"/>
    <hyperlink r:id="rId660" ref="M795"/>
    <hyperlink r:id="rId661" ref="M796"/>
    <hyperlink r:id="rId662" ref="M797"/>
    <hyperlink r:id="rId663" ref="M798"/>
    <hyperlink r:id="rId664" ref="M799"/>
    <hyperlink r:id="rId665" ref="M800"/>
    <hyperlink r:id="rId666" ref="M801"/>
    <hyperlink r:id="rId667" ref="M802"/>
    <hyperlink r:id="rId668" ref="M804"/>
    <hyperlink r:id="rId669" ref="M805"/>
    <hyperlink r:id="rId670" ref="M806"/>
    <hyperlink r:id="rId671" ref="M807"/>
    <hyperlink r:id="rId672" ref="M808"/>
    <hyperlink r:id="rId673" ref="M810"/>
    <hyperlink r:id="rId674" ref="M811"/>
    <hyperlink r:id="rId675" ref="M812"/>
    <hyperlink r:id="rId676" ref="M814"/>
    <hyperlink r:id="rId677" ref="M816"/>
    <hyperlink r:id="rId678" ref="M818"/>
    <hyperlink r:id="rId679" ref="M819"/>
    <hyperlink r:id="rId680" ref="M820"/>
    <hyperlink r:id="rId681" ref="M821"/>
    <hyperlink r:id="rId682" ref="M822"/>
    <hyperlink r:id="rId683" ref="M824"/>
    <hyperlink r:id="rId684" ref="M825"/>
    <hyperlink r:id="rId685" ref="M826"/>
    <hyperlink r:id="rId686" ref="M827"/>
    <hyperlink r:id="rId687" ref="M828"/>
    <hyperlink r:id="rId688" ref="M830"/>
    <hyperlink r:id="rId689" ref="M831"/>
    <hyperlink r:id="rId690" ref="M832"/>
    <hyperlink r:id="rId691" ref="M833"/>
    <hyperlink r:id="rId692" ref="M834"/>
    <hyperlink r:id="rId693" ref="M835"/>
    <hyperlink r:id="rId694" ref="M836"/>
    <hyperlink r:id="rId695" ref="M837"/>
    <hyperlink r:id="rId696" ref="M838"/>
    <hyperlink r:id="rId697" ref="M839"/>
    <hyperlink r:id="rId698" ref="M840"/>
    <hyperlink r:id="rId699" ref="M841"/>
    <hyperlink r:id="rId700" ref="M842"/>
    <hyperlink r:id="rId701" ref="M843"/>
    <hyperlink r:id="rId702" ref="M844"/>
    <hyperlink r:id="rId703" ref="M845"/>
    <hyperlink r:id="rId704" ref="M847"/>
    <hyperlink r:id="rId705" ref="M848"/>
    <hyperlink r:id="rId706" ref="M849"/>
    <hyperlink r:id="rId707" ref="M850"/>
    <hyperlink r:id="rId708" ref="M851"/>
    <hyperlink r:id="rId709" ref="M852"/>
    <hyperlink r:id="rId710" ref="M853"/>
    <hyperlink r:id="rId711" ref="M854"/>
    <hyperlink r:id="rId712" ref="M855"/>
    <hyperlink r:id="rId713" ref="M856"/>
    <hyperlink r:id="rId714" ref="M857"/>
    <hyperlink r:id="rId715" ref="M859"/>
    <hyperlink r:id="rId716" ref="M860"/>
    <hyperlink r:id="rId717" ref="M861"/>
    <hyperlink r:id="rId718" ref="M863"/>
    <hyperlink r:id="rId719" ref="M868"/>
    <hyperlink r:id="rId720" ref="M869"/>
    <hyperlink r:id="rId721" ref="M870"/>
    <hyperlink r:id="rId722" ref="M871"/>
    <hyperlink r:id="rId723" ref="M872"/>
    <hyperlink r:id="rId724" ref="M873"/>
    <hyperlink r:id="rId725" ref="M874"/>
    <hyperlink r:id="rId726" ref="M875"/>
    <hyperlink r:id="rId727" ref="M876"/>
    <hyperlink r:id="rId728" ref="M877"/>
    <hyperlink r:id="rId729" ref="M878"/>
    <hyperlink r:id="rId730" ref="M879"/>
    <hyperlink r:id="rId731" ref="M880"/>
    <hyperlink r:id="rId732" ref="M881"/>
    <hyperlink r:id="rId733" ref="M883"/>
    <hyperlink r:id="rId734" ref="M884"/>
    <hyperlink r:id="rId735" ref="M885"/>
    <hyperlink r:id="rId736" ref="M886"/>
    <hyperlink r:id="rId737" ref="M888"/>
    <hyperlink r:id="rId738" ref="M889"/>
    <hyperlink r:id="rId739" ref="M890"/>
    <hyperlink r:id="rId740" ref="M891"/>
    <hyperlink r:id="rId741" ref="M892"/>
    <hyperlink r:id="rId742" ref="M893"/>
    <hyperlink r:id="rId743" ref="M894"/>
    <hyperlink r:id="rId744" ref="M895"/>
    <hyperlink r:id="rId745" ref="M896"/>
    <hyperlink r:id="rId746" ref="M897"/>
    <hyperlink r:id="rId747" ref="M898"/>
    <hyperlink r:id="rId748" ref="M899"/>
    <hyperlink r:id="rId749" ref="M900"/>
    <hyperlink r:id="rId750" ref="M901"/>
    <hyperlink r:id="rId751" ref="M902"/>
    <hyperlink r:id="rId752" ref="M903"/>
    <hyperlink r:id="rId753" ref="M904"/>
    <hyperlink r:id="rId754" ref="M905"/>
    <hyperlink r:id="rId755" ref="M906"/>
    <hyperlink r:id="rId756" ref="M907"/>
    <hyperlink r:id="rId757" ref="M908"/>
    <hyperlink r:id="rId758" ref="M909"/>
    <hyperlink r:id="rId759" ref="M910"/>
    <hyperlink r:id="rId760" ref="M911"/>
    <hyperlink r:id="rId761" ref="M912"/>
    <hyperlink r:id="rId762" ref="M913"/>
    <hyperlink r:id="rId763" ref="M914"/>
    <hyperlink r:id="rId764" ref="M915"/>
    <hyperlink r:id="rId765" ref="M916"/>
    <hyperlink r:id="rId766" ref="M917"/>
    <hyperlink r:id="rId767" ref="M918"/>
    <hyperlink r:id="rId768" ref="M919"/>
    <hyperlink r:id="rId769" ref="M920"/>
    <hyperlink r:id="rId770" ref="M921"/>
    <hyperlink r:id="rId771" ref="M922"/>
    <hyperlink r:id="rId772" ref="M923"/>
    <hyperlink r:id="rId773" ref="M924"/>
    <hyperlink r:id="rId774" ref="M925"/>
    <hyperlink r:id="rId775" ref="M926"/>
    <hyperlink r:id="rId776" ref="M927"/>
    <hyperlink r:id="rId777" ref="M928"/>
    <hyperlink r:id="rId778" ref="M929"/>
    <hyperlink r:id="rId779" ref="M930"/>
    <hyperlink r:id="rId780" ref="M931"/>
    <hyperlink r:id="rId781" ref="M932"/>
    <hyperlink r:id="rId782" ref="M933"/>
    <hyperlink r:id="rId783" ref="M934"/>
    <hyperlink r:id="rId784" ref="M935"/>
    <hyperlink r:id="rId785" ref="M936"/>
    <hyperlink r:id="rId786" ref="M937"/>
    <hyperlink r:id="rId787" ref="M938"/>
    <hyperlink r:id="rId788" ref="M939"/>
    <hyperlink r:id="rId789" ref="M940"/>
    <hyperlink r:id="rId790" ref="M941"/>
    <hyperlink r:id="rId791" ref="M943"/>
    <hyperlink r:id="rId792" ref="M944"/>
    <hyperlink r:id="rId793" ref="M946"/>
    <hyperlink r:id="rId794" ref="M947"/>
    <hyperlink r:id="rId795" ref="M949"/>
    <hyperlink r:id="rId796" ref="M950"/>
    <hyperlink r:id="rId797" ref="M951"/>
    <hyperlink r:id="rId798" ref="M953"/>
    <hyperlink r:id="rId799" ref="M954"/>
    <hyperlink r:id="rId800" ref="M955"/>
    <hyperlink r:id="rId801" ref="M956"/>
    <hyperlink r:id="rId802" ref="M957"/>
    <hyperlink r:id="rId803" ref="M958"/>
    <hyperlink r:id="rId804" ref="M959"/>
    <hyperlink r:id="rId805" ref="M960"/>
    <hyperlink r:id="rId806" ref="M961"/>
    <hyperlink r:id="rId807" ref="M962"/>
    <hyperlink r:id="rId808" ref="M963"/>
  </hyperlinks>
  <printOptions gridLines="1" horizontalCentered="1"/>
  <pageMargins bottom="0.75" footer="0.0" header="0.0" left="0.7" right="0.7" top="0.75"/>
  <pageSetup fitToHeight="0" cellComments="atEnd" orientation="landscape" pageOrder="overThenDown"/>
  <drawing r:id="rId809"/>
  <legacyDrawing r:id="rId8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3" width="28.43"/>
    <col customWidth="1" min="4" max="4" width="13.57"/>
    <col customWidth="1" min="5" max="5" width="19.71"/>
    <col customWidth="1" min="6" max="6" width="19.43"/>
  </cols>
  <sheetData>
    <row r="1">
      <c r="B1" s="41" t="s">
        <v>3299</v>
      </c>
      <c r="C1" s="42">
        <f>TODAY()</f>
        <v>44095</v>
      </c>
      <c r="G1" s="41" t="s">
        <v>3300</v>
      </c>
      <c r="H1" s="43" t="s">
        <v>3301</v>
      </c>
    </row>
    <row r="2">
      <c r="B2" s="41" t="s">
        <v>3302</v>
      </c>
      <c r="C2" s="41" t="s">
        <v>3303</v>
      </c>
      <c r="D2" s="41" t="s">
        <v>3304</v>
      </c>
      <c r="E2" s="41" t="s">
        <v>3305</v>
      </c>
      <c r="F2" s="41" t="s">
        <v>3306</v>
      </c>
      <c r="H2" s="44">
        <f>IF(WEEKDAY($C$1)=7,$C$1-1,IF(WEEKDAY($C$1)=1,$C$1-2,$C$1))</f>
        <v>44095</v>
      </c>
    </row>
    <row r="3">
      <c r="B3" s="45" t="s">
        <v>3307</v>
      </c>
      <c r="C3" s="45" t="s">
        <v>3308</v>
      </c>
      <c r="D3" s="45">
        <f t="shared" ref="D3:D169" si="1">IFNA(F3,E3)</f>
        <v>3.6725</v>
      </c>
      <c r="E3" s="45">
        <v>3.6725</v>
      </c>
      <c r="F3" s="9" t="str">
        <f>IFERROR(__xludf.DUMMYFUNCTION("INDEX(GOOGLEFINANCE(""Currency:USD""&amp;$B3,""price"",date(YEAR($H$2),MONTH($H$2),DAY($H$2))),2,2)"),"#N/A")</f>
        <v>#N/A</v>
      </c>
    </row>
    <row r="4">
      <c r="B4" s="45" t="s">
        <v>3309</v>
      </c>
      <c r="C4" s="45" t="s">
        <v>3310</v>
      </c>
      <c r="D4" s="45">
        <f t="shared" si="1"/>
        <v>76.11000062</v>
      </c>
      <c r="E4" s="45">
        <v>76.1100006238</v>
      </c>
      <c r="F4" s="9" t="str">
        <f>IFERROR(__xludf.DUMMYFUNCTION("INDEX(GOOGLEFINANCE(""Currency:USD""&amp;$B4,""price"",date(YEAR($H$2),MONTH($H$2),DAY($H$2))),2,2)"),"#N/A")</f>
        <v>#N/A</v>
      </c>
    </row>
    <row r="5">
      <c r="B5" s="45" t="s">
        <v>3311</v>
      </c>
      <c r="C5" s="45" t="s">
        <v>3312</v>
      </c>
      <c r="D5" s="45">
        <f t="shared" si="1"/>
        <v>109.4998953</v>
      </c>
      <c r="E5" s="45">
        <v>109.4998952834</v>
      </c>
      <c r="F5" s="9" t="str">
        <f>IFERROR(__xludf.DUMMYFUNCTION("INDEX(GOOGLEFINANCE(""Currency:USD""&amp;$B5,""price"",date(YEAR($H$2),MONTH($H$2),DAY($H$2))),2,2)"),"#N/A")</f>
        <v>#N/A</v>
      </c>
    </row>
    <row r="6">
      <c r="B6" s="45" t="s">
        <v>3313</v>
      </c>
      <c r="C6" s="45" t="s">
        <v>3314</v>
      </c>
      <c r="D6" s="45">
        <f t="shared" si="1"/>
        <v>487.8500068</v>
      </c>
      <c r="E6" s="45">
        <v>487.8500068099</v>
      </c>
      <c r="F6" s="9" t="str">
        <f>IFERROR(__xludf.DUMMYFUNCTION("INDEX(GOOGLEFINANCE(""Currency:USD""&amp;$B6,""price"",date(YEAR($H$2),MONTH($H$2),DAY($H$2))),2,2)"),"#N/A")</f>
        <v>#N/A</v>
      </c>
    </row>
    <row r="7">
      <c r="B7" s="45" t="s">
        <v>3315</v>
      </c>
      <c r="C7" s="45" t="s">
        <v>3316</v>
      </c>
      <c r="D7" s="45">
        <f t="shared" si="1"/>
        <v>1.786499979</v>
      </c>
      <c r="E7" s="45">
        <v>1.7864999789</v>
      </c>
      <c r="F7" s="9" t="str">
        <f>IFERROR(__xludf.DUMMYFUNCTION("INDEX(GOOGLEFINANCE(""Currency:USD""&amp;$B7,""price"",date(YEAR($H$2),MONTH($H$2),DAY($H$2))),2,2)"),"#N/A")</f>
        <v>#N/A</v>
      </c>
    </row>
    <row r="8">
      <c r="B8" s="45" t="s">
        <v>3317</v>
      </c>
      <c r="C8" s="45" t="s">
        <v>3318</v>
      </c>
      <c r="D8" s="45">
        <f t="shared" si="1"/>
        <v>498.1035155</v>
      </c>
      <c r="E8" s="45">
        <v>498.1035154706</v>
      </c>
      <c r="F8" s="9" t="str">
        <f>IFERROR(__xludf.DUMMYFUNCTION("INDEX(GOOGLEFINANCE(""Currency:USD""&amp;$B8,""price"",date(YEAR($H$2),MONTH($H$2),DAY($H$2))),2,2)"),"#N/A")</f>
        <v>#N/A</v>
      </c>
    </row>
    <row r="9">
      <c r="B9" s="45" t="s">
        <v>3319</v>
      </c>
      <c r="C9" s="45" t="s">
        <v>3320</v>
      </c>
      <c r="D9" s="45">
        <f t="shared" si="1"/>
        <v>62.88111294</v>
      </c>
      <c r="E9" s="45">
        <v>62.8811129422</v>
      </c>
      <c r="F9" s="9" t="str">
        <f>IFERROR(__xludf.DUMMYFUNCTION("INDEX(GOOGLEFINANCE(""Currency:USD""&amp;$B9,""price"",date(YEAR($H$2),MONTH($H$2),DAY($H$2))),2,2)"),"#N/A")</f>
        <v>#N/A</v>
      </c>
    </row>
    <row r="10">
      <c r="B10" s="45" t="s">
        <v>3321</v>
      </c>
      <c r="C10" s="45" t="s">
        <v>3322</v>
      </c>
      <c r="D10" s="45">
        <f t="shared" si="1"/>
        <v>1.618033684</v>
      </c>
      <c r="E10" s="45">
        <v>1.6180336841</v>
      </c>
      <c r="F10" s="9" t="str">
        <f>IFERROR(__xludf.DUMMYFUNCTION("INDEX(GOOGLEFINANCE(""Currency:USD""&amp;$B10,""price"",date(YEAR($H$2),MONTH($H$2),DAY($H$2))),2,2)"),"#N/A")</f>
        <v>#N/A</v>
      </c>
    </row>
    <row r="11">
      <c r="B11" s="45" t="s">
        <v>3323</v>
      </c>
      <c r="C11" s="45" t="s">
        <v>3324</v>
      </c>
      <c r="D11" s="45">
        <f t="shared" si="1"/>
        <v>1.79</v>
      </c>
      <c r="E11" s="45">
        <v>1.79</v>
      </c>
      <c r="F11" s="9" t="str">
        <f>IFERROR(__xludf.DUMMYFUNCTION("INDEX(GOOGLEFINANCE(""Currency:USD""&amp;$B11,""price"",date(YEAR($H$2),MONTH($H$2),DAY($H$2))),2,2)"),"#N/A")</f>
        <v>#N/A</v>
      </c>
    </row>
    <row r="12">
      <c r="B12" s="45" t="s">
        <v>3325</v>
      </c>
      <c r="C12" s="45" t="s">
        <v>3326</v>
      </c>
      <c r="D12" s="45">
        <f t="shared" si="1"/>
        <v>1.696492376</v>
      </c>
      <c r="E12" s="45">
        <v>1.6964923761</v>
      </c>
      <c r="F12" s="9" t="str">
        <f>IFERROR(__xludf.DUMMYFUNCTION("INDEX(GOOGLEFINANCE(""Currency:USD""&amp;$B12,""price"",date(YEAR($H$2),MONTH($H$2),DAY($H$2))),2,2)"),"#N/A")</f>
        <v>#N/A</v>
      </c>
    </row>
    <row r="13">
      <c r="B13" s="45" t="s">
        <v>3327</v>
      </c>
      <c r="C13" s="45" t="s">
        <v>3328</v>
      </c>
      <c r="D13" s="45">
        <f t="shared" si="1"/>
        <v>1.760249146</v>
      </c>
      <c r="E13" s="45">
        <v>1.7602491455</v>
      </c>
      <c r="F13" s="9" t="str">
        <f>IFERROR(__xludf.DUMMYFUNCTION("INDEX(GOOGLEFINANCE(""Currency:USD""&amp;$B13,""price"",date(YEAR($H$2),MONTH($H$2),DAY($H$2))),2,2)"),"#N/A")</f>
        <v>#N/A</v>
      </c>
    </row>
    <row r="14">
      <c r="B14" s="45" t="s">
        <v>3329</v>
      </c>
      <c r="C14" s="45" t="s">
        <v>3330</v>
      </c>
      <c r="D14" s="45">
        <f t="shared" si="1"/>
        <v>2</v>
      </c>
      <c r="E14" s="45">
        <v>2.0</v>
      </c>
      <c r="F14" s="9" t="str">
        <f>IFERROR(__xludf.DUMMYFUNCTION("INDEX(GOOGLEFINANCE(""Currency:USD""&amp;$B14,""price"",date(YEAR($H$2),MONTH($H$2),DAY($H$2))),2,2)"),"#N/A")</f>
        <v>#N/A</v>
      </c>
    </row>
    <row r="15">
      <c r="B15" s="45" t="s">
        <v>3331</v>
      </c>
      <c r="C15" s="45" t="s">
        <v>3332</v>
      </c>
      <c r="D15" s="45">
        <f t="shared" si="1"/>
        <v>85.00021531</v>
      </c>
      <c r="E15" s="45">
        <v>85.0002153142</v>
      </c>
      <c r="F15" s="9" t="str">
        <f>IFERROR(__xludf.DUMMYFUNCTION("INDEX(GOOGLEFINANCE(""Currency:USD""&amp;$B15,""price"",date(YEAR($H$2),MONTH($H$2),DAY($H$2))),2,2)"),"#N/A")</f>
        <v>#N/A</v>
      </c>
    </row>
    <row r="16">
      <c r="B16" s="45" t="s">
        <v>3333</v>
      </c>
      <c r="C16" s="45" t="s">
        <v>3334</v>
      </c>
      <c r="D16" s="45">
        <f t="shared" si="1"/>
        <v>1.760249146</v>
      </c>
      <c r="E16" s="45">
        <v>1.7602491455</v>
      </c>
      <c r="F16" s="9" t="str">
        <f>IFERROR(__xludf.DUMMYFUNCTION("INDEX(GOOGLEFINANCE(""Currency:USD""&amp;$B16,""price"",date(YEAR($H$2),MONTH($H$2),DAY($H$2))),2,2)"),"#N/A")</f>
        <v>#N/A</v>
      </c>
    </row>
    <row r="17">
      <c r="B17" s="45" t="s">
        <v>3335</v>
      </c>
      <c r="C17" s="45" t="s">
        <v>3336</v>
      </c>
      <c r="D17" s="45">
        <f t="shared" si="1"/>
        <v>0.376</v>
      </c>
      <c r="E17" s="45">
        <v>0.376</v>
      </c>
      <c r="F17" s="9" t="str">
        <f>IFERROR(__xludf.DUMMYFUNCTION("INDEX(GOOGLEFINANCE(""Currency:USD""&amp;$B17,""price"",date(YEAR($H$2),MONTH($H$2),DAY($H$2))),2,2)"),"#N/A")</f>
        <v>#N/A</v>
      </c>
    </row>
    <row r="18">
      <c r="B18" s="45" t="s">
        <v>3337</v>
      </c>
      <c r="C18" s="45" t="s">
        <v>3338</v>
      </c>
      <c r="D18" s="45">
        <f t="shared" si="1"/>
        <v>1890.774846</v>
      </c>
      <c r="E18" s="45">
        <v>1890.7748457768</v>
      </c>
      <c r="F18" s="9" t="str">
        <f>IFERROR(__xludf.DUMMYFUNCTION("INDEX(GOOGLEFINANCE(""Currency:USD""&amp;$B18,""price"",date(YEAR($H$2),MONTH($H$2),DAY($H$2))),2,2)"),"#N/A")</f>
        <v>#N/A</v>
      </c>
    </row>
    <row r="19">
      <c r="B19" s="45" t="s">
        <v>3339</v>
      </c>
      <c r="C19" s="45" t="s">
        <v>3340</v>
      </c>
      <c r="D19" s="45">
        <f t="shared" si="1"/>
        <v>1</v>
      </c>
      <c r="E19" s="45">
        <v>1.0</v>
      </c>
      <c r="F19" s="9" t="str">
        <f>IFERROR(__xludf.DUMMYFUNCTION("INDEX(GOOGLEFINANCE(""Currency:USD""&amp;$B19,""price"",date(YEAR($H$2),MONTH($H$2),DAY($H$2))),2,2)"),"#N/A")</f>
        <v>#N/A</v>
      </c>
    </row>
    <row r="20">
      <c r="B20" s="45" t="s">
        <v>3341</v>
      </c>
      <c r="C20" s="45" t="s">
        <v>3342</v>
      </c>
      <c r="D20" s="45">
        <f t="shared" si="1"/>
        <v>1.415188888</v>
      </c>
      <c r="E20" s="45">
        <v>1.4151888882</v>
      </c>
      <c r="F20" s="9" t="str">
        <f>IFERROR(__xludf.DUMMYFUNCTION("INDEX(GOOGLEFINANCE(""Currency:USD""&amp;$B20,""price"",date(YEAR($H$2),MONTH($H$2),DAY($H$2))),2,2)"),"#N/A")</f>
        <v>#N/A</v>
      </c>
    </row>
    <row r="21">
      <c r="B21" s="45" t="s">
        <v>3343</v>
      </c>
      <c r="C21" s="45" t="s">
        <v>3344</v>
      </c>
      <c r="D21" s="45">
        <f t="shared" si="1"/>
        <v>6.875522069</v>
      </c>
      <c r="E21" s="45">
        <v>6.8755220694</v>
      </c>
      <c r="F21" s="9" t="str">
        <f>IFERROR(__xludf.DUMMYFUNCTION("INDEX(GOOGLEFINANCE(""Currency:USD""&amp;$B21,""price"",date(YEAR($H$2),MONTH($H$2),DAY($H$2))),2,2)"),"#N/A")</f>
        <v>#N/A</v>
      </c>
    </row>
    <row r="22">
      <c r="B22" s="45" t="s">
        <v>3345</v>
      </c>
      <c r="C22" s="45" t="s">
        <v>3346</v>
      </c>
      <c r="D22" s="45">
        <f t="shared" si="1"/>
        <v>4.837801408</v>
      </c>
      <c r="E22" s="45">
        <v>4.8378014082</v>
      </c>
      <c r="F22" s="9" t="str">
        <f>IFERROR(__xludf.DUMMYFUNCTION("INDEX(GOOGLEFINANCE(""Currency:USD""&amp;$B22,""price"",date(YEAR($H$2),MONTH($H$2),DAY($H$2))),2,2)"),"#N/A")</f>
        <v>#N/A</v>
      </c>
    </row>
    <row r="23">
      <c r="B23" s="45" t="s">
        <v>3347</v>
      </c>
      <c r="C23" s="45" t="s">
        <v>3348</v>
      </c>
      <c r="D23" s="45">
        <f t="shared" si="1"/>
        <v>1</v>
      </c>
      <c r="E23" s="45">
        <v>1.0</v>
      </c>
      <c r="F23" s="9" t="str">
        <f>IFERROR(__xludf.DUMMYFUNCTION("INDEX(GOOGLEFINANCE(""Currency:USD""&amp;$B23,""price"",date(YEAR($H$2),MONTH($H$2),DAY($H$2))),2,2)"),"#N/A")</f>
        <v>#N/A</v>
      </c>
    </row>
    <row r="24">
      <c r="B24" s="45" t="s">
        <v>3349</v>
      </c>
      <c r="C24" s="45" t="s">
        <v>3350</v>
      </c>
      <c r="D24" s="45">
        <f t="shared" si="1"/>
        <v>73.86915444</v>
      </c>
      <c r="E24" s="45">
        <v>73.8691544377</v>
      </c>
      <c r="F24" s="9" t="str">
        <f>IFERROR(__xludf.DUMMYFUNCTION("INDEX(GOOGLEFINANCE(""Currency:USD""&amp;$B24,""price"",date(YEAR($H$2),MONTH($H$2),DAY($H$2))),2,2)"),"#N/A")</f>
        <v>#N/A</v>
      </c>
    </row>
    <row r="25">
      <c r="B25" s="45" t="s">
        <v>3351</v>
      </c>
      <c r="C25" s="45" t="s">
        <v>3352</v>
      </c>
      <c r="D25" s="45">
        <f t="shared" si="1"/>
        <v>11.41748599</v>
      </c>
      <c r="E25" s="45">
        <v>11.4174859913</v>
      </c>
      <c r="F25" s="9" t="str">
        <f>IFERROR(__xludf.DUMMYFUNCTION("INDEX(GOOGLEFINANCE(""Currency:USD""&amp;$B25,""price"",date(YEAR($H$2),MONTH($H$2),DAY($H$2))),2,2)"),"#N/A")</f>
        <v>#N/A</v>
      </c>
    </row>
    <row r="26">
      <c r="B26" s="45" t="s">
        <v>3353</v>
      </c>
      <c r="C26" s="45" t="s">
        <v>3354</v>
      </c>
      <c r="D26" s="45">
        <f t="shared" si="1"/>
        <v>2.329999932</v>
      </c>
      <c r="E26" s="45">
        <v>2.3299999323</v>
      </c>
      <c r="F26" s="9" t="str">
        <f>IFERROR(__xludf.DUMMYFUNCTION("INDEX(GOOGLEFINANCE(""Currency:USD""&amp;$B26,""price"",date(YEAR($H$2),MONTH($H$2),DAY($H$2))),2,2)"),"#N/A")</f>
        <v>#N/A</v>
      </c>
    </row>
    <row r="27">
      <c r="B27" s="45" t="s">
        <v>3355</v>
      </c>
      <c r="C27" s="45" t="s">
        <v>3356</v>
      </c>
      <c r="D27" s="45">
        <f t="shared" si="1"/>
        <v>2.015290649</v>
      </c>
      <c r="E27" s="45">
        <v>2.0152906485</v>
      </c>
      <c r="F27" s="9" t="str">
        <f>IFERROR(__xludf.DUMMYFUNCTION("INDEX(GOOGLEFINANCE(""Currency:USD""&amp;$B27,""price"",date(YEAR($H$2),MONTH($H$2),DAY($H$2))),2,2)"),"#N/A")</f>
        <v>#N/A</v>
      </c>
    </row>
    <row r="28">
      <c r="B28" s="45" t="s">
        <v>3357</v>
      </c>
      <c r="C28" s="45" t="s">
        <v>3358</v>
      </c>
      <c r="D28" s="45">
        <f t="shared" si="1"/>
        <v>1.381629248</v>
      </c>
      <c r="E28" s="45">
        <v>1.3816292481</v>
      </c>
      <c r="F28" s="9" t="str">
        <f>IFERROR(__xludf.DUMMYFUNCTION("INDEX(GOOGLEFINANCE(""Currency:USD""&amp;$B28,""price"",date(YEAR($H$2),MONTH($H$2),DAY($H$2))),2,2)"),"#N/A")</f>
        <v>#N/A</v>
      </c>
    </row>
    <row r="29">
      <c r="B29" s="45" t="s">
        <v>3359</v>
      </c>
      <c r="C29" s="45" t="s">
        <v>3360</v>
      </c>
      <c r="D29" s="45">
        <f t="shared" si="1"/>
        <v>1700.989994</v>
      </c>
      <c r="E29" s="45">
        <v>1700.9899936999</v>
      </c>
      <c r="F29" s="9" t="str">
        <f>IFERROR(__xludf.DUMMYFUNCTION("INDEX(GOOGLEFINANCE(""Currency:USD""&amp;$B29,""price"",date(YEAR($H$2),MONTH($H$2),DAY($H$2))),2,2)"),"#N/A")</f>
        <v>#N/A</v>
      </c>
    </row>
    <row r="30">
      <c r="B30" s="45" t="s">
        <v>3361</v>
      </c>
      <c r="C30" s="45" t="s">
        <v>3362</v>
      </c>
      <c r="D30" s="45">
        <f t="shared" si="1"/>
        <v>0.9507302718</v>
      </c>
      <c r="E30" s="45">
        <v>0.9507302718</v>
      </c>
      <c r="F30" s="9" t="str">
        <f>IFERROR(__xludf.DUMMYFUNCTION("INDEX(GOOGLEFINANCE(""Currency:USD""&amp;$B30,""price"",date(YEAR($H$2),MONTH($H$2),DAY($H$2))),2,2)"),"#N/A")</f>
        <v>#N/A</v>
      </c>
    </row>
    <row r="31">
      <c r="B31" s="45" t="s">
        <v>3363</v>
      </c>
      <c r="C31" s="45" t="s">
        <v>3364</v>
      </c>
      <c r="D31" s="45">
        <f t="shared" si="1"/>
        <v>838.2967145</v>
      </c>
      <c r="E31" s="45">
        <v>838.2967145301</v>
      </c>
      <c r="F31" s="9" t="str">
        <f>IFERROR(__xludf.DUMMYFUNCTION("INDEX(GOOGLEFINANCE(""Currency:USD""&amp;$B31,""price"",date(YEAR($H$2),MONTH($H$2),DAY($H$2))),2,2)"),"#N/A")</f>
        <v>#N/A</v>
      </c>
    </row>
    <row r="32">
      <c r="B32" s="45" t="s">
        <v>3365</v>
      </c>
      <c r="C32" s="45" t="s">
        <v>3366</v>
      </c>
      <c r="D32" s="45">
        <f t="shared" si="1"/>
        <v>7.005011409</v>
      </c>
      <c r="E32" s="45">
        <v>7.0050114092</v>
      </c>
      <c r="F32" s="9" t="str">
        <f>IFERROR(__xludf.DUMMYFUNCTION("INDEX(GOOGLEFINANCE(""Currency:USD""&amp;$B32,""price"",date(YEAR($H$2),MONTH($H$2),DAY($H$2))),2,2)"),"#N/A")</f>
        <v>#N/A</v>
      </c>
    </row>
    <row r="33">
      <c r="B33" s="45" t="s">
        <v>3367</v>
      </c>
      <c r="C33" s="45" t="s">
        <v>3368</v>
      </c>
      <c r="D33" s="45">
        <f t="shared" si="1"/>
        <v>4020.943197</v>
      </c>
      <c r="E33" s="45">
        <v>4020.9431973468</v>
      </c>
      <c r="F33" s="9" t="str">
        <f>IFERROR(__xludf.DUMMYFUNCTION("INDEX(GOOGLEFINANCE(""Currency:USD""&amp;$B33,""price"",date(YEAR($H$2),MONTH($H$2),DAY($H$2))),2,2)"),"#N/A")</f>
        <v>#N/A</v>
      </c>
    </row>
    <row r="34">
      <c r="B34" s="45" t="s">
        <v>3369</v>
      </c>
      <c r="C34" s="45" t="s">
        <v>3370</v>
      </c>
      <c r="D34" s="45">
        <f t="shared" si="1"/>
        <v>566.2290768</v>
      </c>
      <c r="E34" s="45">
        <v>566.2290768301</v>
      </c>
      <c r="F34" s="9" t="str">
        <f>IFERROR(__xludf.DUMMYFUNCTION("INDEX(GOOGLEFINANCE(""Currency:USD""&amp;$B34,""price"",date(YEAR($H$2),MONTH($H$2),DAY($H$2))),2,2)"),"#N/A")</f>
        <v>#N/A</v>
      </c>
    </row>
    <row r="35">
      <c r="B35" s="45" t="s">
        <v>3371</v>
      </c>
      <c r="C35" s="45" t="s">
        <v>3372</v>
      </c>
      <c r="D35" s="45">
        <f t="shared" si="1"/>
        <v>1</v>
      </c>
      <c r="E35" s="45">
        <v>1.0</v>
      </c>
      <c r="F35" s="9" t="str">
        <f>IFERROR(__xludf.DUMMYFUNCTION("INDEX(GOOGLEFINANCE(""Currency:USD""&amp;$B35,""price"",date(YEAR($H$2),MONTH($H$2),DAY($H$2))),2,2)"),"#N/A")</f>
        <v>#N/A</v>
      </c>
    </row>
    <row r="36">
      <c r="B36" s="45" t="s">
        <v>3373</v>
      </c>
      <c r="C36" s="45" t="s">
        <v>3374</v>
      </c>
      <c r="D36" s="45">
        <f t="shared" si="1"/>
        <v>26.5</v>
      </c>
      <c r="E36" s="45">
        <v>26.5</v>
      </c>
      <c r="F36" s="9" t="str">
        <f>IFERROR(__xludf.DUMMYFUNCTION("INDEX(GOOGLEFINANCE(""Currency:USD""&amp;$B36,""price"",date(YEAR($H$2),MONTH($H$2),DAY($H$2))),2,2)"),"#N/A")</f>
        <v>#N/A</v>
      </c>
    </row>
    <row r="37">
      <c r="B37" s="45" t="s">
        <v>3375</v>
      </c>
      <c r="C37" s="45" t="s">
        <v>3376</v>
      </c>
      <c r="D37" s="45">
        <f t="shared" si="1"/>
        <v>99.24312097</v>
      </c>
      <c r="E37" s="45">
        <v>99.2431209662</v>
      </c>
      <c r="F37" s="9" t="str">
        <f>IFERROR(__xludf.DUMMYFUNCTION("INDEX(GOOGLEFINANCE(""Currency:USD""&amp;$B37,""price"",date(YEAR($H$2),MONTH($H$2),DAY($H$2))),2,2)"),"#N/A")</f>
        <v>#N/A</v>
      </c>
    </row>
    <row r="38">
      <c r="B38" s="45" t="s">
        <v>3377</v>
      </c>
      <c r="C38" s="45" t="s">
        <v>3378</v>
      </c>
      <c r="D38" s="45">
        <f t="shared" si="1"/>
        <v>23.66966668</v>
      </c>
      <c r="E38" s="45">
        <v>23.6696666822</v>
      </c>
      <c r="F38" s="9" t="str">
        <f>IFERROR(__xludf.DUMMYFUNCTION("INDEX(GOOGLEFINANCE(""Currency:USD""&amp;$B38,""price"",date(YEAR($H$2),MONTH($H$2),DAY($H$2))),2,2)"),"#N/A")</f>
        <v>#N/A</v>
      </c>
    </row>
    <row r="39">
      <c r="B39" s="45" t="s">
        <v>3379</v>
      </c>
      <c r="C39" s="45" t="s">
        <v>3380</v>
      </c>
      <c r="D39" s="45">
        <f t="shared" si="1"/>
        <v>177.9996844</v>
      </c>
      <c r="E39" s="45">
        <v>177.9996844394</v>
      </c>
      <c r="F39" s="9" t="str">
        <f>IFERROR(__xludf.DUMMYFUNCTION("INDEX(GOOGLEFINANCE(""Currency:USD""&amp;$B39,""price"",date(YEAR($H$2),MONTH($H$2),DAY($H$2))),2,2)"),"#N/A")</f>
        <v>#N/A</v>
      </c>
    </row>
    <row r="40">
      <c r="B40" s="45" t="s">
        <v>3381</v>
      </c>
      <c r="C40" s="45" t="s">
        <v>3382</v>
      </c>
      <c r="D40" s="45">
        <f t="shared" si="1"/>
        <v>6.729912666</v>
      </c>
      <c r="E40" s="45">
        <v>6.7299126664</v>
      </c>
      <c r="F40" s="9" t="str">
        <f>IFERROR(__xludf.DUMMYFUNCTION("INDEX(GOOGLEFINANCE(""Currency:USD""&amp;$B40,""price"",date(YEAR($H$2),MONTH($H$2),DAY($H$2))),2,2)"),"#N/A")</f>
        <v>#N/A</v>
      </c>
    </row>
    <row r="41">
      <c r="B41" s="45" t="s">
        <v>3383</v>
      </c>
      <c r="C41" s="45" t="s">
        <v>3384</v>
      </c>
      <c r="D41" s="45">
        <f t="shared" si="1"/>
        <v>53.76989266</v>
      </c>
      <c r="E41" s="45">
        <v>53.7698926587</v>
      </c>
      <c r="F41" s="9" t="str">
        <f>IFERROR(__xludf.DUMMYFUNCTION("INDEX(GOOGLEFINANCE(""Currency:USD""&amp;$B41,""price"",date(YEAR($H$2),MONTH($H$2),DAY($H$2))),2,2)"),"#N/A")</f>
        <v>#N/A</v>
      </c>
    </row>
    <row r="42">
      <c r="B42" s="45" t="s">
        <v>3385</v>
      </c>
      <c r="C42" s="45" t="s">
        <v>3386</v>
      </c>
      <c r="D42" s="45">
        <f t="shared" si="1"/>
        <v>121.1964795</v>
      </c>
      <c r="E42" s="45">
        <v>121.1964795451</v>
      </c>
      <c r="F42" s="9" t="str">
        <f>IFERROR(__xludf.DUMMYFUNCTION("INDEX(GOOGLEFINANCE(""Currency:USD""&amp;$B42,""price"",date(YEAR($H$2),MONTH($H$2),DAY($H$2))),2,2)"),"#N/A")</f>
        <v>#N/A</v>
      </c>
    </row>
    <row r="43">
      <c r="B43" s="45" t="s">
        <v>3387</v>
      </c>
      <c r="C43" s="45" t="s">
        <v>3388</v>
      </c>
      <c r="D43" s="45">
        <f t="shared" si="1"/>
        <v>15.70285022</v>
      </c>
      <c r="E43" s="45">
        <v>15.7028502157</v>
      </c>
      <c r="F43" s="9" t="str">
        <f>IFERROR(__xludf.DUMMYFUNCTION("INDEX(GOOGLEFINANCE(""Currency:USD""&amp;$B43,""price"",date(YEAR($H$2),MONTH($H$2),DAY($H$2))),2,2)"),"#N/A")</f>
        <v>#N/A</v>
      </c>
    </row>
    <row r="44">
      <c r="B44" s="45" t="s">
        <v>3389</v>
      </c>
      <c r="C44" s="45" t="s">
        <v>3390</v>
      </c>
      <c r="D44" s="45">
        <f t="shared" si="1"/>
        <v>15</v>
      </c>
      <c r="E44" s="45">
        <v>15.0</v>
      </c>
      <c r="F44" s="9" t="str">
        <f>IFERROR(__xludf.DUMMYFUNCTION("INDEX(GOOGLEFINANCE(""Currency:USD""&amp;$B44,""price"",date(YEAR($H$2),MONTH($H$2),DAY($H$2))),2,2)"),"#N/A")</f>
        <v>#N/A</v>
      </c>
    </row>
    <row r="45">
      <c r="B45" s="45" t="s">
        <v>3391</v>
      </c>
      <c r="C45" s="45" t="s">
        <v>3392</v>
      </c>
      <c r="D45" s="45">
        <f t="shared" si="1"/>
        <v>32.44973251</v>
      </c>
      <c r="E45" s="45">
        <v>32.4497325131</v>
      </c>
      <c r="F45" s="9" t="str">
        <f>IFERROR(__xludf.DUMMYFUNCTION("INDEX(GOOGLEFINANCE(""Currency:USD""&amp;$B45,""price"",date(YEAR($H$2),MONTH($H$2),DAY($H$2))),2,2)"),"#N/A")</f>
        <v>#N/A</v>
      </c>
    </row>
    <row r="46">
      <c r="B46" s="45" t="s">
        <v>3393</v>
      </c>
      <c r="C46" s="45" t="s">
        <v>3394</v>
      </c>
      <c r="D46" s="45">
        <f t="shared" si="1"/>
        <v>0.900001097</v>
      </c>
      <c r="E46" s="45">
        <v>0.900001097</v>
      </c>
      <c r="F46" s="9" t="str">
        <f>IFERROR(__xludf.DUMMYFUNCTION("INDEX(GOOGLEFINANCE(""Currency:USD""&amp;$B46,""price"",date(YEAR($H$2),MONTH($H$2),DAY($H$2))),2,2)"),"#N/A")</f>
        <v>#N/A</v>
      </c>
    </row>
    <row r="47">
      <c r="B47" s="45" t="s">
        <v>3395</v>
      </c>
      <c r="C47" s="45" t="s">
        <v>3396</v>
      </c>
      <c r="D47" s="45">
        <f t="shared" si="1"/>
        <v>2.247996358</v>
      </c>
      <c r="E47" s="45">
        <v>2.2479963575</v>
      </c>
      <c r="F47" s="9" t="str">
        <f>IFERROR(__xludf.DUMMYFUNCTION("INDEX(GOOGLEFINANCE(""Currency:USD""&amp;$B47,""price"",date(YEAR($H$2),MONTH($H$2),DAY($H$2))),2,2)"),"#N/A")</f>
        <v>#N/A</v>
      </c>
    </row>
    <row r="48">
      <c r="B48" s="45" t="s">
        <v>3397</v>
      </c>
      <c r="C48" s="45" t="s">
        <v>3398</v>
      </c>
      <c r="D48" s="45">
        <f t="shared" si="1"/>
        <v>0.8143333168</v>
      </c>
      <c r="E48" s="45">
        <v>0.8143333168</v>
      </c>
      <c r="F48" s="9" t="str">
        <f>IFERROR(__xludf.DUMMYFUNCTION("INDEX(GOOGLEFINANCE(""Currency:USD""&amp;$B48,""price"",date(YEAR($H$2),MONTH($H$2),DAY($H$2))),2,2)"),"#N/A")</f>
        <v>#N/A</v>
      </c>
    </row>
    <row r="49">
      <c r="B49" s="45" t="s">
        <v>3399</v>
      </c>
      <c r="C49" s="45" t="s">
        <v>3400</v>
      </c>
      <c r="D49" s="45">
        <f t="shared" si="1"/>
        <v>0.8143333168</v>
      </c>
      <c r="E49" s="45">
        <v>0.8143333168</v>
      </c>
      <c r="F49" s="9" t="str">
        <f>IFERROR(__xludf.DUMMYFUNCTION("INDEX(GOOGLEFINANCE(""Currency:USD""&amp;$B49,""price"",date(YEAR($H$2),MONTH($H$2),DAY($H$2))),2,2)"),"#N/A")</f>
        <v>#N/A</v>
      </c>
    </row>
    <row r="50">
      <c r="B50" s="45" t="s">
        <v>3401</v>
      </c>
      <c r="C50" s="45" t="s">
        <v>3402</v>
      </c>
      <c r="D50" s="45">
        <f t="shared" si="1"/>
        <v>2.789854175</v>
      </c>
      <c r="E50" s="45">
        <v>2.7898541753</v>
      </c>
      <c r="F50" s="9" t="str">
        <f>IFERROR(__xludf.DUMMYFUNCTION("INDEX(GOOGLEFINANCE(""Currency:USD""&amp;$B50,""price"",date(YEAR($H$2),MONTH($H$2),DAY($H$2))),2,2)"),"#N/A")</f>
        <v>#N/A</v>
      </c>
    </row>
    <row r="51">
      <c r="B51" s="45" t="s">
        <v>3403</v>
      </c>
      <c r="C51" s="45" t="s">
        <v>3404</v>
      </c>
      <c r="D51" s="45">
        <f t="shared" si="1"/>
        <v>0.8143333168</v>
      </c>
      <c r="E51" s="45">
        <v>0.8143333168</v>
      </c>
      <c r="F51" s="9" t="str">
        <f>IFERROR(__xludf.DUMMYFUNCTION("INDEX(GOOGLEFINANCE(""Currency:USD""&amp;$B51,""price"",date(YEAR($H$2),MONTH($H$2),DAY($H$2))),2,2)"),"#N/A")</f>
        <v>#N/A</v>
      </c>
    </row>
    <row r="52">
      <c r="B52" s="45" t="s">
        <v>3405</v>
      </c>
      <c r="C52" s="45" t="s">
        <v>3406</v>
      </c>
      <c r="D52" s="45">
        <f t="shared" si="1"/>
        <v>5.522243454</v>
      </c>
      <c r="E52" s="45">
        <v>5.5222434541</v>
      </c>
      <c r="F52" s="9" t="str">
        <f>IFERROR(__xludf.DUMMYFUNCTION("INDEX(GOOGLEFINANCE(""Currency:USD""&amp;$B52,""price"",date(YEAR($H$2),MONTH($H$2),DAY($H$2))),2,2)"),"#N/A")</f>
        <v>#N/A</v>
      </c>
    </row>
    <row r="53">
      <c r="B53" s="45" t="s">
        <v>3407</v>
      </c>
      <c r="C53" s="45" t="s">
        <v>3408</v>
      </c>
      <c r="D53" s="45">
        <f t="shared" si="1"/>
        <v>0.8143333168</v>
      </c>
      <c r="E53" s="45">
        <v>0.8143333168</v>
      </c>
      <c r="F53" s="9" t="str">
        <f>IFERROR(__xludf.DUMMYFUNCTION("INDEX(GOOGLEFINANCE(""Currency:USD""&amp;$B53,""price"",date(YEAR($H$2),MONTH($H$2),DAY($H$2))),2,2)"),"#N/A")</f>
        <v>#N/A</v>
      </c>
    </row>
    <row r="54">
      <c r="B54" s="45" t="s">
        <v>3409</v>
      </c>
      <c r="C54" s="45" t="s">
        <v>3410</v>
      </c>
      <c r="D54" s="45">
        <f t="shared" si="1"/>
        <v>50.70002941</v>
      </c>
      <c r="E54" s="45">
        <v>50.7000294134</v>
      </c>
      <c r="F54" s="9" t="str">
        <f>IFERROR(__xludf.DUMMYFUNCTION("INDEX(GOOGLEFINANCE(""Currency:USD""&amp;$B54,""price"",date(YEAR($H$2),MONTH($H$2),DAY($H$2))),2,2)"),"#N/A")</f>
        <v>#N/A</v>
      </c>
    </row>
    <row r="55">
      <c r="B55" s="45" t="s">
        <v>3411</v>
      </c>
      <c r="C55" s="45" t="s">
        <v>3412</v>
      </c>
      <c r="D55" s="45">
        <f t="shared" si="1"/>
        <v>9430.890082</v>
      </c>
      <c r="E55" s="45">
        <v>9430.8900821803</v>
      </c>
      <c r="F55" s="9" t="str">
        <f>IFERROR(__xludf.DUMMYFUNCTION("INDEX(GOOGLEFINANCE(""Currency:USD""&amp;$B55,""price"",date(YEAR($H$2),MONTH($H$2),DAY($H$2))),2,2)"),"#N/A")</f>
        <v>#N/A</v>
      </c>
    </row>
    <row r="56">
      <c r="B56" s="45" t="s">
        <v>3413</v>
      </c>
      <c r="C56" s="45" t="s">
        <v>3414</v>
      </c>
      <c r="D56" s="45">
        <f t="shared" si="1"/>
        <v>7.651095941</v>
      </c>
      <c r="E56" s="45">
        <v>7.6510959407</v>
      </c>
      <c r="F56" s="9" t="str">
        <f>IFERROR(__xludf.DUMMYFUNCTION("INDEX(GOOGLEFINANCE(""Currency:USD""&amp;$B56,""price"",date(YEAR($H$2),MONTH($H$2),DAY($H$2))),2,2)"),"#N/A")</f>
        <v>#N/A</v>
      </c>
    </row>
    <row r="57">
      <c r="B57" s="45" t="s">
        <v>3415</v>
      </c>
      <c r="C57" s="45" t="s">
        <v>3416</v>
      </c>
      <c r="D57" s="45">
        <f t="shared" si="1"/>
        <v>208.1488243</v>
      </c>
      <c r="E57" s="45">
        <v>208.1488243386</v>
      </c>
      <c r="F57" s="9" t="str">
        <f>IFERROR(__xludf.DUMMYFUNCTION("INDEX(GOOGLEFINANCE(""Currency:USD""&amp;$B57,""price"",date(YEAR($H$2),MONTH($H$2),DAY($H$2))),2,2)"),"#N/A")</f>
        <v>#N/A</v>
      </c>
    </row>
    <row r="58">
      <c r="B58" s="45" t="s">
        <v>3417</v>
      </c>
      <c r="C58" s="45" t="s">
        <v>3418</v>
      </c>
      <c r="D58" s="45">
        <f t="shared" si="1"/>
        <v>7.77078901</v>
      </c>
      <c r="E58" s="45">
        <v>7.7707890101</v>
      </c>
      <c r="F58" s="9" t="str">
        <f>IFERROR(__xludf.DUMMYFUNCTION("INDEX(GOOGLEFINANCE(""Currency:USD""&amp;$B58,""price"",date(YEAR($H$2),MONTH($H$2),DAY($H$2))),2,2)"),"#N/A")</f>
        <v>#N/A</v>
      </c>
    </row>
    <row r="59">
      <c r="B59" s="45" t="s">
        <v>3419</v>
      </c>
      <c r="C59" s="45" t="s">
        <v>3420</v>
      </c>
      <c r="D59" s="45">
        <f t="shared" si="1"/>
        <v>24.71394832</v>
      </c>
      <c r="E59" s="45">
        <v>24.713948315</v>
      </c>
      <c r="F59" s="9" t="str">
        <f>IFERROR(__xludf.DUMMYFUNCTION("INDEX(GOOGLEFINANCE(""Currency:USD""&amp;$B59,""price"",date(YEAR($H$2),MONTH($H$2),DAY($H$2))),2,2)"),"#N/A")</f>
        <v>#N/A</v>
      </c>
    </row>
    <row r="60">
      <c r="B60" s="45" t="s">
        <v>3421</v>
      </c>
      <c r="C60" s="45" t="s">
        <v>3422</v>
      </c>
      <c r="D60" s="45">
        <f t="shared" si="1"/>
        <v>6.817308514</v>
      </c>
      <c r="E60" s="45">
        <v>6.8173085142</v>
      </c>
      <c r="F60" s="9" t="str">
        <f>IFERROR(__xludf.DUMMYFUNCTION("INDEX(GOOGLEFINANCE(""Currency:USD""&amp;$B60,""price"",date(YEAR($H$2),MONTH($H$2),DAY($H$2))),2,2)"),"#N/A")</f>
        <v>#N/A</v>
      </c>
    </row>
    <row r="61">
      <c r="B61" s="45" t="s">
        <v>3423</v>
      </c>
      <c r="C61" s="45" t="s">
        <v>3424</v>
      </c>
      <c r="D61" s="45">
        <f t="shared" si="1"/>
        <v>93.93224713</v>
      </c>
      <c r="E61" s="45">
        <v>93.9322471288</v>
      </c>
      <c r="F61" s="9" t="str">
        <f>IFERROR(__xludf.DUMMYFUNCTION("INDEX(GOOGLEFINANCE(""Currency:USD""&amp;$B61,""price"",date(YEAR($H$2),MONTH($H$2),DAY($H$2))),2,2)"),"#N/A")</f>
        <v>#N/A</v>
      </c>
    </row>
    <row r="62">
      <c r="B62" s="45" t="s">
        <v>3425</v>
      </c>
      <c r="C62" s="45" t="s">
        <v>3426</v>
      </c>
      <c r="D62" s="45">
        <f t="shared" si="1"/>
        <v>305.0183818</v>
      </c>
      <c r="E62" s="45">
        <v>305.0183818132</v>
      </c>
      <c r="F62" s="9" t="str">
        <f>IFERROR(__xludf.DUMMYFUNCTION("INDEX(GOOGLEFINANCE(""Currency:USD""&amp;$B62,""price"",date(YEAR($H$2),MONTH($H$2),DAY($H$2))),2,2)"),"#N/A")</f>
        <v>#N/A</v>
      </c>
    </row>
    <row r="63">
      <c r="B63" s="45" t="s">
        <v>3427</v>
      </c>
      <c r="C63" s="45" t="s">
        <v>3428</v>
      </c>
      <c r="D63" s="45">
        <f t="shared" si="1"/>
        <v>14814.43016</v>
      </c>
      <c r="E63" s="45">
        <v>14814.4301573548</v>
      </c>
      <c r="F63" s="9" t="str">
        <f>IFERROR(__xludf.DUMMYFUNCTION("INDEX(GOOGLEFINANCE(""Currency:USD""&amp;$B63,""price"",date(YEAR($H$2),MONTH($H$2),DAY($H$2))),2,2)"),"#N/A")</f>
        <v>#N/A</v>
      </c>
    </row>
    <row r="64">
      <c r="B64" s="45" t="s">
        <v>3429</v>
      </c>
      <c r="C64" s="45" t="s">
        <v>3430</v>
      </c>
      <c r="D64" s="45">
        <f t="shared" si="1"/>
        <v>3.667047579</v>
      </c>
      <c r="E64" s="45">
        <v>3.6670475789</v>
      </c>
      <c r="F64" s="9" t="str">
        <f>IFERROR(__xludf.DUMMYFUNCTION("INDEX(GOOGLEFINANCE(""Currency:USD""&amp;$B64,""price"",date(YEAR($H$2),MONTH($H$2),DAY($H$2))),2,2)"),"#N/A")</f>
        <v>#N/A</v>
      </c>
    </row>
    <row r="65">
      <c r="B65" s="45" t="s">
        <v>3431</v>
      </c>
      <c r="C65" s="45" t="s">
        <v>3432</v>
      </c>
      <c r="D65" s="45">
        <f t="shared" si="1"/>
        <v>0.8143333168</v>
      </c>
      <c r="E65" s="45">
        <v>0.8143333168</v>
      </c>
      <c r="F65" s="9" t="str">
        <f>IFERROR(__xludf.DUMMYFUNCTION("INDEX(GOOGLEFINANCE(""Currency:USD""&amp;$B65,""price"",date(YEAR($H$2),MONTH($H$2),DAY($H$2))),2,2)"),"#N/A")</f>
        <v>#N/A</v>
      </c>
    </row>
    <row r="66">
      <c r="B66" s="45" t="s">
        <v>3433</v>
      </c>
      <c r="C66" s="45" t="s">
        <v>3434</v>
      </c>
      <c r="D66" s="45">
        <f t="shared" si="1"/>
        <v>73.86915444</v>
      </c>
      <c r="E66" s="45">
        <v>73.8691544377</v>
      </c>
      <c r="F66" s="9" t="str">
        <f>IFERROR(__xludf.DUMMYFUNCTION("INDEX(GOOGLEFINANCE(""Currency:USD""&amp;$B66,""price"",date(YEAR($H$2),MONTH($H$2),DAY($H$2))),2,2)"),"#N/A")</f>
        <v>#N/A</v>
      </c>
    </row>
    <row r="67">
      <c r="B67" s="45" t="s">
        <v>3435</v>
      </c>
      <c r="C67" s="45" t="s">
        <v>3436</v>
      </c>
      <c r="D67" s="45">
        <f t="shared" si="1"/>
        <v>1190.211644</v>
      </c>
      <c r="E67" s="45">
        <v>1190.2116438273</v>
      </c>
      <c r="F67" s="9" t="str">
        <f>IFERROR(__xludf.DUMMYFUNCTION("INDEX(GOOGLEFINANCE(""Currency:USD""&amp;$B67,""price"",date(YEAR($H$2),MONTH($H$2),DAY($H$2))),2,2)"),"#N/A")</f>
        <v>#N/A</v>
      </c>
    </row>
    <row r="68">
      <c r="B68" s="45" t="s">
        <v>3437</v>
      </c>
      <c r="C68" s="45" t="s">
        <v>3438</v>
      </c>
      <c r="D68" s="45">
        <f t="shared" si="1"/>
        <v>42025.28319</v>
      </c>
      <c r="E68" s="45">
        <v>42025.283193603</v>
      </c>
      <c r="F68" s="9" t="str">
        <f>IFERROR(__xludf.DUMMYFUNCTION("INDEX(GOOGLEFINANCE(""Currency:USD""&amp;$B68,""price"",date(YEAR($H$2),MONTH($H$2),DAY($H$2))),2,2)"),"#N/A")</f>
        <v>#N/A</v>
      </c>
    </row>
    <row r="69">
      <c r="B69" s="45" t="s">
        <v>3439</v>
      </c>
      <c r="C69" s="45" t="s">
        <v>3440</v>
      </c>
      <c r="D69" s="45">
        <f t="shared" si="1"/>
        <v>135.3514952</v>
      </c>
      <c r="E69" s="45">
        <v>135.3514952432</v>
      </c>
      <c r="F69" s="9" t="str">
        <f>IFERROR(__xludf.DUMMYFUNCTION("INDEX(GOOGLEFINANCE(""Currency:USD""&amp;$B69,""price"",date(YEAR($H$2),MONTH($H$2),DAY($H$2))),2,2)"),"#N/A")</f>
        <v>#N/A</v>
      </c>
    </row>
    <row r="70">
      <c r="B70" s="45" t="s">
        <v>3441</v>
      </c>
      <c r="C70" s="45" t="s">
        <v>3442</v>
      </c>
      <c r="D70" s="45">
        <f t="shared" si="1"/>
        <v>0.8143333168</v>
      </c>
      <c r="E70" s="45">
        <v>0.8143333168</v>
      </c>
      <c r="F70" s="9" t="str">
        <f>IFERROR(__xludf.DUMMYFUNCTION("INDEX(GOOGLEFINANCE(""Currency:USD""&amp;$B70,""price"",date(YEAR($H$2),MONTH($H$2),DAY($H$2))),2,2)"),"#N/A")</f>
        <v>#N/A</v>
      </c>
    </row>
    <row r="71">
      <c r="B71" s="45" t="s">
        <v>3443</v>
      </c>
      <c r="C71" s="45" t="s">
        <v>3444</v>
      </c>
      <c r="D71" s="45">
        <f t="shared" si="1"/>
        <v>134.8418838</v>
      </c>
      <c r="E71" s="45">
        <v>134.8418838222</v>
      </c>
      <c r="F71" s="9" t="str">
        <f>IFERROR(__xludf.DUMMYFUNCTION("INDEX(GOOGLEFINANCE(""Currency:USD""&amp;$B71,""price"",date(YEAR($H$2),MONTH($H$2),DAY($H$2))),2,2)"),"#N/A")</f>
        <v>#N/A</v>
      </c>
    </row>
    <row r="72">
      <c r="B72" s="45" t="s">
        <v>3445</v>
      </c>
      <c r="C72" s="45" t="s">
        <v>3446</v>
      </c>
      <c r="D72" s="45">
        <f t="shared" si="1"/>
        <v>0.709</v>
      </c>
      <c r="E72" s="45">
        <v>0.709</v>
      </c>
      <c r="F72" s="9" t="str">
        <f>IFERROR(__xludf.DUMMYFUNCTION("INDEX(GOOGLEFINANCE(""Currency:USD""&amp;$B72,""price"",date(YEAR($H$2),MONTH($H$2),DAY($H$2))),2,2)"),"#N/A")</f>
        <v>#N/A</v>
      </c>
    </row>
    <row r="73">
      <c r="B73" s="45" t="s">
        <v>3447</v>
      </c>
      <c r="C73" s="45" t="s">
        <v>3448</v>
      </c>
      <c r="D73" s="45">
        <f t="shared" si="1"/>
        <v>107.9649225</v>
      </c>
      <c r="E73" s="45">
        <v>107.9649224955</v>
      </c>
      <c r="F73" s="9" t="str">
        <f>IFERROR(__xludf.DUMMYFUNCTION("INDEX(GOOGLEFINANCE(""Currency:USD""&amp;$B73,""price"",date(YEAR($H$2),MONTH($H$2),DAY($H$2))),2,2)"),"#N/A")</f>
        <v>#N/A</v>
      </c>
    </row>
    <row r="74">
      <c r="B74" s="45" t="s">
        <v>3449</v>
      </c>
      <c r="C74" s="45" t="s">
        <v>3450</v>
      </c>
      <c r="D74" s="45">
        <f t="shared" si="1"/>
        <v>102.7984079</v>
      </c>
      <c r="E74" s="45">
        <v>102.7984078931</v>
      </c>
      <c r="F74" s="9" t="str">
        <f>IFERROR(__xludf.DUMMYFUNCTION("INDEX(GOOGLEFINANCE(""Currency:USD""&amp;$B74,""price"",date(YEAR($H$2),MONTH($H$2),DAY($H$2))),2,2)"),"#N/A")</f>
        <v>#N/A</v>
      </c>
    </row>
    <row r="75">
      <c r="B75" s="45" t="s">
        <v>3451</v>
      </c>
      <c r="C75" s="45" t="s">
        <v>3452</v>
      </c>
      <c r="D75" s="45">
        <f t="shared" si="1"/>
        <v>69.86039669</v>
      </c>
      <c r="E75" s="45">
        <v>69.8603966882</v>
      </c>
      <c r="F75" s="9" t="str">
        <f>IFERROR(__xludf.DUMMYFUNCTION("INDEX(GOOGLEFINANCE(""Currency:USD""&amp;$B75,""price"",date(YEAR($H$2),MONTH($H$2),DAY($H$2))),2,2)"),"#N/A")</f>
        <v>#N/A</v>
      </c>
    </row>
    <row r="76">
      <c r="B76" s="45" t="s">
        <v>3453</v>
      </c>
      <c r="C76" s="45" t="s">
        <v>3454</v>
      </c>
      <c r="D76" s="45">
        <f t="shared" si="1"/>
        <v>4030.035688</v>
      </c>
      <c r="E76" s="45">
        <v>4030.0356877887</v>
      </c>
      <c r="F76" s="9" t="str">
        <f>IFERROR(__xludf.DUMMYFUNCTION("INDEX(GOOGLEFINANCE(""Currency:USD""&amp;$B76,""price"",date(YEAR($H$2),MONTH($H$2),DAY($H$2))),2,2)"),"#N/A")</f>
        <v>#N/A</v>
      </c>
    </row>
    <row r="77">
      <c r="B77" s="45" t="s">
        <v>3455</v>
      </c>
      <c r="C77" s="45" t="s">
        <v>3456</v>
      </c>
      <c r="D77" s="45">
        <f t="shared" si="1"/>
        <v>442.7715147</v>
      </c>
      <c r="E77" s="45">
        <v>442.7715146886</v>
      </c>
      <c r="F77" s="9" t="str">
        <f>IFERROR(__xludf.DUMMYFUNCTION("INDEX(GOOGLEFINANCE(""Currency:USD""&amp;$B77,""price"",date(YEAR($H$2),MONTH($H$2),DAY($H$2))),2,2)"),"#N/A")</f>
        <v>#N/A</v>
      </c>
    </row>
    <row r="78">
      <c r="B78" s="45" t="s">
        <v>3457</v>
      </c>
      <c r="C78" s="45" t="s">
        <v>3458</v>
      </c>
      <c r="D78" s="45">
        <f t="shared" si="1"/>
        <v>900</v>
      </c>
      <c r="E78" s="45">
        <v>900.0000000044</v>
      </c>
      <c r="F78" s="9" t="str">
        <f>IFERROR(__xludf.DUMMYFUNCTION("INDEX(GOOGLEFINANCE(""Currency:USD""&amp;$B78,""price"",date(YEAR($H$2),MONTH($H$2),DAY($H$2))),2,2)"),"#N/A")</f>
        <v>#N/A</v>
      </c>
    </row>
    <row r="79">
      <c r="B79" s="45" t="s">
        <v>3459</v>
      </c>
      <c r="C79" s="45" t="s">
        <v>3460</v>
      </c>
      <c r="D79" s="45">
        <f t="shared" si="1"/>
        <v>1211.003157</v>
      </c>
      <c r="E79" s="45">
        <v>1211.0031569754</v>
      </c>
      <c r="F79" s="9" t="str">
        <f>IFERROR(__xludf.DUMMYFUNCTION("INDEX(GOOGLEFINANCE(""Currency:USD""&amp;$B79,""price"",date(YEAR($H$2),MONTH($H$2),DAY($H$2))),2,2)"),"#N/A")</f>
        <v>#N/A</v>
      </c>
    </row>
    <row r="80">
      <c r="B80" s="45" t="s">
        <v>3461</v>
      </c>
      <c r="C80" s="45" t="s">
        <v>3462</v>
      </c>
      <c r="D80" s="45">
        <f t="shared" si="1"/>
        <v>0.3088982353</v>
      </c>
      <c r="E80" s="45">
        <v>0.3088982353</v>
      </c>
      <c r="F80" s="9" t="str">
        <f>IFERROR(__xludf.DUMMYFUNCTION("INDEX(GOOGLEFINANCE(""Currency:USD""&amp;$B80,""price"",date(YEAR($H$2),MONTH($H$2),DAY($H$2))),2,2)"),"#N/A")</f>
        <v>#N/A</v>
      </c>
    </row>
    <row r="81">
      <c r="B81" s="45" t="s">
        <v>3463</v>
      </c>
      <c r="C81" s="45" t="s">
        <v>3464</v>
      </c>
      <c r="D81" s="45">
        <f t="shared" si="1"/>
        <v>0.8200036214</v>
      </c>
      <c r="E81" s="45">
        <v>0.8200036214</v>
      </c>
      <c r="F81" s="9" t="str">
        <f>IFERROR(__xludf.DUMMYFUNCTION("INDEX(GOOGLEFINANCE(""Currency:USD""&amp;$B81,""price"",date(YEAR($H$2),MONTH($H$2),DAY($H$2))),2,2)"),"#N/A")</f>
        <v>#N/A</v>
      </c>
    </row>
    <row r="82">
      <c r="B82" s="45" t="s">
        <v>3465</v>
      </c>
      <c r="C82" s="45" t="s">
        <v>3466</v>
      </c>
      <c r="D82" s="45">
        <f t="shared" si="1"/>
        <v>405.6881276</v>
      </c>
      <c r="E82" s="45">
        <v>405.6881276052</v>
      </c>
      <c r="F82" s="9" t="str">
        <f>IFERROR(__xludf.DUMMYFUNCTION("INDEX(GOOGLEFINANCE(""Currency:USD""&amp;$B82,""price"",date(YEAR($H$2),MONTH($H$2),DAY($H$2))),2,2)"),"#N/A")</f>
        <v>#N/A</v>
      </c>
    </row>
    <row r="83">
      <c r="B83" s="45" t="s">
        <v>3467</v>
      </c>
      <c r="C83" s="45" t="s">
        <v>3468</v>
      </c>
      <c r="D83" s="45">
        <f t="shared" si="1"/>
        <v>8914.055945</v>
      </c>
      <c r="E83" s="45">
        <v>8914.0559445498</v>
      </c>
      <c r="F83" s="9" t="str">
        <f>IFERROR(__xludf.DUMMYFUNCTION("INDEX(GOOGLEFINANCE(""Currency:USD""&amp;$B83,""price"",date(YEAR($H$2),MONTH($H$2),DAY($H$2))),2,2)"),"#N/A")</f>
        <v>#N/A</v>
      </c>
    </row>
    <row r="84">
      <c r="B84" s="45" t="s">
        <v>3469</v>
      </c>
      <c r="C84" s="45" t="s">
        <v>3470</v>
      </c>
      <c r="D84" s="45">
        <f t="shared" si="1"/>
        <v>1507.5</v>
      </c>
      <c r="E84" s="45">
        <v>1507.5</v>
      </c>
      <c r="F84" s="9" t="str">
        <f>IFERROR(__xludf.DUMMYFUNCTION("INDEX(GOOGLEFINANCE(""Currency:USD""&amp;$B84,""price"",date(YEAR($H$2),MONTH($H$2),DAY($H$2))),2,2)"),"#N/A")</f>
        <v>#N/A</v>
      </c>
    </row>
    <row r="85">
      <c r="B85" s="45" t="s">
        <v>3471</v>
      </c>
      <c r="C85" s="45" t="s">
        <v>3472</v>
      </c>
      <c r="D85" s="45">
        <f t="shared" si="1"/>
        <v>184.3998437</v>
      </c>
      <c r="E85" s="45">
        <v>184.399843736</v>
      </c>
      <c r="F85" s="9" t="str">
        <f>IFERROR(__xludf.DUMMYFUNCTION("INDEX(GOOGLEFINANCE(""Currency:USD""&amp;$B85,""price"",date(YEAR($H$2),MONTH($H$2),DAY($H$2))),2,2)"),"#N/A")</f>
        <v>#N/A</v>
      </c>
    </row>
    <row r="86">
      <c r="B86" s="45" t="s">
        <v>3473</v>
      </c>
      <c r="C86" s="45" t="s">
        <v>3474</v>
      </c>
      <c r="D86" s="45">
        <f t="shared" si="1"/>
        <v>197.5897414</v>
      </c>
      <c r="E86" s="45">
        <v>197.5897413911</v>
      </c>
      <c r="F86" s="9" t="str">
        <f>IFERROR(__xludf.DUMMYFUNCTION("INDEX(GOOGLEFINANCE(""Currency:USD""&amp;$B86,""price"",date(YEAR($H$2),MONTH($H$2),DAY($H$2))),2,2)"),"#N/A")</f>
        <v>#N/A</v>
      </c>
    </row>
    <row r="87">
      <c r="B87" s="45" t="s">
        <v>3475</v>
      </c>
      <c r="C87" s="45" t="s">
        <v>3476</v>
      </c>
      <c r="D87" s="45">
        <f t="shared" si="1"/>
        <v>16.21261923</v>
      </c>
      <c r="E87" s="45">
        <v>16.2126192349</v>
      </c>
      <c r="F87" s="9" t="str">
        <f>IFERROR(__xludf.DUMMYFUNCTION("INDEX(GOOGLEFINANCE(""Currency:USD""&amp;$B87,""price"",date(YEAR($H$2),MONTH($H$2),DAY($H$2))),2,2)"),"#N/A")</f>
        <v>#N/A</v>
      </c>
    </row>
    <row r="88">
      <c r="B88" s="45" t="s">
        <v>3477</v>
      </c>
      <c r="C88" s="45" t="s">
        <v>3478</v>
      </c>
      <c r="D88" s="45">
        <f t="shared" si="1"/>
        <v>1.389836208</v>
      </c>
      <c r="E88" s="45">
        <v>1.3898362078</v>
      </c>
      <c r="F88" s="9" t="str">
        <f>IFERROR(__xludf.DUMMYFUNCTION("INDEX(GOOGLEFINANCE(""Currency:USD""&amp;$B88,""price"",date(YEAR($H$2),MONTH($H$2),DAY($H$2))),2,2)"),"#N/A")</f>
        <v>#N/A</v>
      </c>
    </row>
    <row r="89">
      <c r="B89" s="45" t="s">
        <v>3479</v>
      </c>
      <c r="C89" s="45" t="s">
        <v>3480</v>
      </c>
      <c r="D89" s="45">
        <f t="shared" si="1"/>
        <v>9.573992353</v>
      </c>
      <c r="E89" s="45">
        <v>9.5739923534</v>
      </c>
      <c r="F89" s="9" t="str">
        <f>IFERROR(__xludf.DUMMYFUNCTION("INDEX(GOOGLEFINANCE(""Currency:USD""&amp;$B89,""price"",date(YEAR($H$2),MONTH($H$2),DAY($H$2))),2,2)"),"#N/A")</f>
        <v>#N/A</v>
      </c>
    </row>
    <row r="90">
      <c r="B90" s="45" t="s">
        <v>3481</v>
      </c>
      <c r="C90" s="45" t="s">
        <v>3482</v>
      </c>
      <c r="D90" s="45">
        <f t="shared" si="1"/>
        <v>17.47765024</v>
      </c>
      <c r="E90" s="45">
        <v>17.4776502371</v>
      </c>
      <c r="F90" s="9" t="str">
        <f>IFERROR(__xludf.DUMMYFUNCTION("INDEX(GOOGLEFINANCE(""Currency:USD""&amp;$B90,""price"",date(YEAR($H$2),MONTH($H$2),DAY($H$2))),2,2)"),"#N/A")</f>
        <v>#N/A</v>
      </c>
    </row>
    <row r="91">
      <c r="B91" s="45" t="s">
        <v>3483</v>
      </c>
      <c r="C91" s="45" t="s">
        <v>3484</v>
      </c>
      <c r="D91" s="45">
        <f t="shared" si="1"/>
        <v>3686.735912</v>
      </c>
      <c r="E91" s="45">
        <v>3686.7359124768</v>
      </c>
      <c r="F91" s="9" t="str">
        <f>IFERROR(__xludf.DUMMYFUNCTION("INDEX(GOOGLEFINANCE(""Currency:USD""&amp;$B91,""price"",date(YEAR($H$2),MONTH($H$2),DAY($H$2))),2,2)"),"#N/A")</f>
        <v>#N/A</v>
      </c>
    </row>
    <row r="92">
      <c r="B92" s="45" t="s">
        <v>3485</v>
      </c>
      <c r="C92" s="45" t="s">
        <v>3486</v>
      </c>
      <c r="D92" s="45">
        <f t="shared" si="1"/>
        <v>55.4713939</v>
      </c>
      <c r="E92" s="45">
        <v>55.4713939018</v>
      </c>
      <c r="F92" s="9" t="str">
        <f>IFERROR(__xludf.DUMMYFUNCTION("INDEX(GOOGLEFINANCE(""Currency:USD""&amp;$B92,""price"",date(YEAR($H$2),MONTH($H$2),DAY($H$2))),2,2)"),"#N/A")</f>
        <v>#N/A</v>
      </c>
    </row>
    <row r="93">
      <c r="B93" s="45" t="s">
        <v>3487</v>
      </c>
      <c r="C93" s="45" t="s">
        <v>3488</v>
      </c>
      <c r="D93" s="45">
        <f t="shared" si="1"/>
        <v>1385.574001</v>
      </c>
      <c r="E93" s="45">
        <v>1385.5740010632</v>
      </c>
      <c r="F93" s="9" t="str">
        <f>IFERROR(__xludf.DUMMYFUNCTION("INDEX(GOOGLEFINANCE(""Currency:USD""&amp;$B93,""price"",date(YEAR($H$2),MONTH($H$2),DAY($H$2))),2,2)"),"#N/A")</f>
        <v>#N/A</v>
      </c>
    </row>
    <row r="94">
      <c r="B94" s="45" t="s">
        <v>3489</v>
      </c>
      <c r="C94" s="45" t="s">
        <v>3490</v>
      </c>
      <c r="D94" s="45">
        <f t="shared" si="1"/>
        <v>2770.592446</v>
      </c>
      <c r="E94" s="45">
        <v>2770.5924459686</v>
      </c>
      <c r="F94" s="9" t="str">
        <f>IFERROR(__xludf.DUMMYFUNCTION("INDEX(GOOGLEFINANCE(""Currency:USD""&amp;$B94,""price"",date(YEAR($H$2),MONTH($H$2),DAY($H$2))),2,2)"),"#N/A")</f>
        <v>#N/A</v>
      </c>
    </row>
    <row r="95">
      <c r="B95" s="45" t="s">
        <v>3491</v>
      </c>
      <c r="C95" s="45" t="s">
        <v>3492</v>
      </c>
      <c r="D95" s="45">
        <f t="shared" si="1"/>
        <v>8.00391268</v>
      </c>
      <c r="E95" s="45">
        <v>8.0039126804</v>
      </c>
      <c r="F95" s="9" t="str">
        <f>IFERROR(__xludf.DUMMYFUNCTION("INDEX(GOOGLEFINANCE(""Currency:USD""&amp;$B95,""price"",date(YEAR($H$2),MONTH($H$2),DAY($H$2))),2,2)"),"#N/A")</f>
        <v>#N/A</v>
      </c>
    </row>
    <row r="96">
      <c r="B96" s="45" t="s">
        <v>3493</v>
      </c>
      <c r="C96" s="45" t="s">
        <v>3494</v>
      </c>
      <c r="D96" s="45">
        <f t="shared" si="1"/>
        <v>37.56983462</v>
      </c>
      <c r="E96" s="45">
        <v>37.5698346222</v>
      </c>
      <c r="F96" s="9" t="str">
        <f>IFERROR(__xludf.DUMMYFUNCTION("INDEX(GOOGLEFINANCE(""Currency:USD""&amp;$B96,""price"",date(YEAR($H$2),MONTH($H$2),DAY($H$2))),2,2)"),"#N/A")</f>
        <v>#N/A</v>
      </c>
    </row>
    <row r="97">
      <c r="B97" s="45" t="s">
        <v>3495</v>
      </c>
      <c r="C97" s="45" t="s">
        <v>3496</v>
      </c>
      <c r="D97" s="45">
        <f t="shared" si="1"/>
        <v>38.59905633</v>
      </c>
      <c r="E97" s="45">
        <v>38.5990563324</v>
      </c>
      <c r="F97" s="9" t="str">
        <f>IFERROR(__xludf.DUMMYFUNCTION("INDEX(GOOGLEFINANCE(""Currency:USD""&amp;$B97,""price"",date(YEAR($H$2),MONTH($H$2),DAY($H$2))),2,2)"),"#N/A")</f>
        <v>#N/A</v>
      </c>
    </row>
    <row r="98">
      <c r="B98" s="45" t="s">
        <v>3497</v>
      </c>
      <c r="C98" s="45" t="s">
        <v>3498</v>
      </c>
      <c r="D98" s="45">
        <f t="shared" si="1"/>
        <v>15.43279173</v>
      </c>
      <c r="E98" s="45">
        <v>15.4327917326</v>
      </c>
      <c r="F98" s="9" t="str">
        <f>IFERROR(__xludf.DUMMYFUNCTION("INDEX(GOOGLEFINANCE(""Currency:USD""&amp;$B98,""price"",date(YEAR($H$2),MONTH($H$2),DAY($H$2))),2,2)"),"#N/A")</f>
        <v>#N/A</v>
      </c>
    </row>
    <row r="99">
      <c r="B99" s="45" t="s">
        <v>3499</v>
      </c>
      <c r="C99" s="45" t="s">
        <v>3500</v>
      </c>
      <c r="D99" s="45">
        <f t="shared" si="1"/>
        <v>739.1978504</v>
      </c>
      <c r="E99" s="45">
        <v>739.1978503713</v>
      </c>
      <c r="F99" s="9" t="str">
        <f>IFERROR(__xludf.DUMMYFUNCTION("INDEX(GOOGLEFINANCE(""Currency:USD""&amp;$B99,""price"",date(YEAR($H$2),MONTH($H$2),DAY($H$2))),2,2)"),"#N/A")</f>
        <v>#N/A</v>
      </c>
    </row>
    <row r="100">
      <c r="B100" s="45" t="s">
        <v>3501</v>
      </c>
      <c r="C100" s="45" t="s">
        <v>3502</v>
      </c>
      <c r="D100" s="45">
        <f t="shared" si="1"/>
        <v>21.91610932</v>
      </c>
      <c r="E100" s="45">
        <v>21.9161093168</v>
      </c>
      <c r="F100" s="9" t="str">
        <f>IFERROR(__xludf.DUMMYFUNCTION("INDEX(GOOGLEFINANCE(""Currency:USD""&amp;$B100,""price"",date(YEAR($H$2),MONTH($H$2),DAY($H$2))),2,2)"),"#N/A")</f>
        <v>#N/A</v>
      </c>
    </row>
    <row r="101">
      <c r="B101" s="45" t="s">
        <v>3503</v>
      </c>
      <c r="C101" s="45" t="s">
        <v>3504</v>
      </c>
      <c r="D101" s="45">
        <f t="shared" si="1"/>
        <v>4.279269721</v>
      </c>
      <c r="E101" s="45">
        <v>4.2792697214</v>
      </c>
      <c r="F101" s="9" t="str">
        <f>IFERROR(__xludf.DUMMYFUNCTION("INDEX(GOOGLEFINANCE(""Currency:USD""&amp;$B101,""price"",date(YEAR($H$2),MONTH($H$2),DAY($H$2))),2,2)"),"#N/A")</f>
        <v>#N/A</v>
      </c>
    </row>
    <row r="102">
      <c r="B102" s="45" t="s">
        <v>3505</v>
      </c>
      <c r="C102" s="45" t="s">
        <v>3506</v>
      </c>
      <c r="D102" s="45">
        <f t="shared" si="1"/>
        <v>65.65994947</v>
      </c>
      <c r="E102" s="45">
        <v>65.6599494702</v>
      </c>
      <c r="F102" s="9" t="str">
        <f>IFERROR(__xludf.DUMMYFUNCTION("INDEX(GOOGLEFINANCE(""Currency:USD""&amp;$B102,""price"",date(YEAR($H$2),MONTH($H$2),DAY($H$2))),2,2)"),"#N/A")</f>
        <v>#N/A</v>
      </c>
    </row>
    <row r="103">
      <c r="B103" s="45" t="s">
        <v>3507</v>
      </c>
      <c r="C103" s="45" t="s">
        <v>3508</v>
      </c>
      <c r="D103" s="45">
        <f t="shared" si="1"/>
        <v>16.21261923</v>
      </c>
      <c r="E103" s="45">
        <v>16.2126192349</v>
      </c>
      <c r="F103" s="9" t="str">
        <f>IFERROR(__xludf.DUMMYFUNCTION("INDEX(GOOGLEFINANCE(""Currency:USD""&amp;$B103,""price"",date(YEAR($H$2),MONTH($H$2),DAY($H$2))),2,2)"),"#N/A")</f>
        <v>#N/A</v>
      </c>
    </row>
    <row r="104">
      <c r="B104" s="45" t="s">
        <v>3509</v>
      </c>
      <c r="C104" s="45" t="s">
        <v>3510</v>
      </c>
      <c r="D104" s="45">
        <f t="shared" si="1"/>
        <v>365.4987078</v>
      </c>
      <c r="E104" s="45">
        <v>365.4987078086</v>
      </c>
      <c r="F104" s="9" t="str">
        <f>IFERROR(__xludf.DUMMYFUNCTION("INDEX(GOOGLEFINANCE(""Currency:USD""&amp;$B104,""price"",date(YEAR($H$2),MONTH($H$2),DAY($H$2))),2,2)"),"#N/A")</f>
        <v>#N/A</v>
      </c>
    </row>
    <row r="105">
      <c r="B105" s="45" t="s">
        <v>3511</v>
      </c>
      <c r="C105" s="45" t="s">
        <v>3512</v>
      </c>
      <c r="D105" s="45">
        <f t="shared" si="1"/>
        <v>34.12015959</v>
      </c>
      <c r="E105" s="45">
        <v>34.1201595883</v>
      </c>
      <c r="F105" s="9" t="str">
        <f>IFERROR(__xludf.DUMMYFUNCTION("INDEX(GOOGLEFINANCE(""Currency:USD""&amp;$B105,""price"",date(YEAR($H$2),MONTH($H$2),DAY($H$2))),2,2)"),"#N/A")</f>
        <v>#N/A</v>
      </c>
    </row>
    <row r="106">
      <c r="B106" s="45" t="s">
        <v>3513</v>
      </c>
      <c r="C106" s="45" t="s">
        <v>3514</v>
      </c>
      <c r="D106" s="45">
        <f t="shared" si="1"/>
        <v>10.02961027</v>
      </c>
      <c r="E106" s="45">
        <v>10.0296102653</v>
      </c>
      <c r="F106" s="9" t="str">
        <f>IFERROR(__xludf.DUMMYFUNCTION("INDEX(GOOGLEFINANCE(""Currency:USD""&amp;$B106,""price"",date(YEAR($H$2),MONTH($H$2),DAY($H$2))),2,2)"),"#N/A")</f>
        <v>#N/A</v>
      </c>
    </row>
    <row r="107">
      <c r="B107" s="45" t="s">
        <v>3515</v>
      </c>
      <c r="C107" s="45" t="s">
        <v>3516</v>
      </c>
      <c r="D107" s="45">
        <f t="shared" si="1"/>
        <v>118.7446658</v>
      </c>
      <c r="E107" s="45">
        <v>118.7446657586</v>
      </c>
      <c r="F107" s="9" t="str">
        <f>IFERROR(__xludf.DUMMYFUNCTION("INDEX(GOOGLEFINANCE(""Currency:USD""&amp;$B107,""price"",date(YEAR($H$2),MONTH($H$2),DAY($H$2))),2,2)"),"#N/A")</f>
        <v>#N/A</v>
      </c>
    </row>
    <row r="108">
      <c r="B108" s="45" t="s">
        <v>3517</v>
      </c>
      <c r="C108" s="45" t="s">
        <v>3518</v>
      </c>
      <c r="D108" s="45">
        <f t="shared" si="1"/>
        <v>1.648388381</v>
      </c>
      <c r="E108" s="45">
        <v>1.6483883812</v>
      </c>
      <c r="F108" s="9" t="str">
        <f>IFERROR(__xludf.DUMMYFUNCTION("INDEX(GOOGLEFINANCE(""Currency:USD""&amp;$B108,""price"",date(YEAR($H$2),MONTH($H$2),DAY($H$2))),2,2)"),"#N/A")</f>
        <v>#N/A</v>
      </c>
    </row>
    <row r="109">
      <c r="B109" s="45" t="s">
        <v>3519</v>
      </c>
      <c r="C109" s="45" t="s">
        <v>3520</v>
      </c>
      <c r="D109" s="45">
        <f t="shared" si="1"/>
        <v>0.3845</v>
      </c>
      <c r="E109" s="45">
        <v>0.3845</v>
      </c>
      <c r="F109" s="9" t="str">
        <f>IFERROR(__xludf.DUMMYFUNCTION("INDEX(GOOGLEFINANCE(""Currency:USD""&amp;$B109,""price"",date(YEAR($H$2),MONTH($H$2),DAY($H$2))),2,2)"),"#N/A")</f>
        <v>#N/A</v>
      </c>
    </row>
    <row r="110">
      <c r="B110" s="45" t="s">
        <v>3521</v>
      </c>
      <c r="C110" s="45" t="s">
        <v>3522</v>
      </c>
      <c r="D110" s="45">
        <f t="shared" si="1"/>
        <v>1</v>
      </c>
      <c r="E110" s="45">
        <v>1.0</v>
      </c>
      <c r="F110" s="9" t="str">
        <f>IFERROR(__xludf.DUMMYFUNCTION("INDEX(GOOGLEFINANCE(""Currency:USD""&amp;$B110,""price"",date(YEAR($H$2),MONTH($H$2),DAY($H$2))),2,2)"),"#N/A")</f>
        <v>#N/A</v>
      </c>
    </row>
    <row r="111">
      <c r="B111" s="45" t="s">
        <v>3523</v>
      </c>
      <c r="C111" s="45" t="s">
        <v>3524</v>
      </c>
      <c r="D111" s="45">
        <f t="shared" si="1"/>
        <v>3.521743486</v>
      </c>
      <c r="E111" s="45">
        <v>3.5217434855</v>
      </c>
      <c r="F111" s="9" t="str">
        <f>IFERROR(__xludf.DUMMYFUNCTION("INDEX(GOOGLEFINANCE(""Currency:USD""&amp;$B111,""price"",date(YEAR($H$2),MONTH($H$2),DAY($H$2))),2,2)"),"#N/A")</f>
        <v>#N/A</v>
      </c>
    </row>
    <row r="112">
      <c r="B112" s="45" t="s">
        <v>3525</v>
      </c>
      <c r="C112" s="45" t="s">
        <v>3526</v>
      </c>
      <c r="D112" s="45">
        <f t="shared" si="1"/>
        <v>3.413006112</v>
      </c>
      <c r="E112" s="45">
        <v>3.4130061122</v>
      </c>
      <c r="F112" s="9" t="str">
        <f>IFERROR(__xludf.DUMMYFUNCTION("INDEX(GOOGLEFINANCE(""Currency:USD""&amp;$B112,""price"",date(YEAR($H$2),MONTH($H$2),DAY($H$2))),2,2)"),"#N/A")</f>
        <v>#N/A</v>
      </c>
    </row>
    <row r="113">
      <c r="B113" s="45" t="s">
        <v>3527</v>
      </c>
      <c r="C113" s="45" t="s">
        <v>3528</v>
      </c>
      <c r="D113" s="45">
        <f t="shared" si="1"/>
        <v>51.04611873</v>
      </c>
      <c r="E113" s="45">
        <v>51.0461187307</v>
      </c>
      <c r="F113" s="9" t="str">
        <f>IFERROR(__xludf.DUMMYFUNCTION("INDEX(GOOGLEFINANCE(""Currency:USD""&amp;$B113,""price"",date(YEAR($H$2),MONTH($H$2),DAY($H$2))),2,2)"),"#N/A")</f>
        <v>#N/A</v>
      </c>
    </row>
    <row r="114">
      <c r="B114" s="45" t="s">
        <v>3529</v>
      </c>
      <c r="C114" s="45" t="s">
        <v>3530</v>
      </c>
      <c r="D114" s="45">
        <f t="shared" si="1"/>
        <v>160.096598</v>
      </c>
      <c r="E114" s="45">
        <v>160.0965980399</v>
      </c>
      <c r="F114" s="9" t="str">
        <f>IFERROR(__xludf.DUMMYFUNCTION("INDEX(GOOGLEFINANCE(""Currency:USD""&amp;$B114,""price"",date(YEAR($H$2),MONTH($H$2),DAY($H$2))),2,2)"),"#N/A")</f>
        <v>#N/A</v>
      </c>
    </row>
    <row r="115">
      <c r="B115" s="45" t="s">
        <v>3531</v>
      </c>
      <c r="C115" s="45" t="s">
        <v>3532</v>
      </c>
      <c r="D115" s="45">
        <f t="shared" si="1"/>
        <v>3.940522732</v>
      </c>
      <c r="E115" s="45">
        <v>3.9405227317</v>
      </c>
      <c r="F115" s="9" t="str">
        <f>IFERROR(__xludf.DUMMYFUNCTION("INDEX(GOOGLEFINANCE(""Currency:USD""&amp;$B115,""price"",date(YEAR($H$2),MONTH($H$2),DAY($H$2))),2,2)"),"#N/A")</f>
        <v>#N/A</v>
      </c>
    </row>
    <row r="116">
      <c r="B116" s="45" t="s">
        <v>3533</v>
      </c>
      <c r="C116" s="45" t="s">
        <v>3534</v>
      </c>
      <c r="D116" s="45">
        <f t="shared" si="1"/>
        <v>6567.899359</v>
      </c>
      <c r="E116" s="45">
        <v>6567.8993587036</v>
      </c>
      <c r="F116" s="9" t="str">
        <f>IFERROR(__xludf.DUMMYFUNCTION("INDEX(GOOGLEFINANCE(""Currency:USD""&amp;$B116,""price"",date(YEAR($H$2),MONTH($H$2),DAY($H$2))),2,2)"),"#N/A")</f>
        <v>#N/A</v>
      </c>
    </row>
    <row r="117">
      <c r="B117" s="45" t="s">
        <v>3535</v>
      </c>
      <c r="C117" s="45" t="s">
        <v>3536</v>
      </c>
      <c r="D117" s="45">
        <f t="shared" si="1"/>
        <v>3.64</v>
      </c>
      <c r="E117" s="45">
        <v>3.64</v>
      </c>
      <c r="F117" s="9" t="str">
        <f>IFERROR(__xludf.DUMMYFUNCTION("INDEX(GOOGLEFINANCE(""Currency:USD""&amp;$B117,""price"",date(YEAR($H$2),MONTH($H$2),DAY($H$2))),2,2)"),"#N/A")</f>
        <v>#N/A</v>
      </c>
    </row>
    <row r="118">
      <c r="B118" s="45" t="s">
        <v>3537</v>
      </c>
      <c r="C118" s="45" t="s">
        <v>3538</v>
      </c>
      <c r="D118" s="45">
        <f t="shared" si="1"/>
        <v>4.345141381</v>
      </c>
      <c r="E118" s="45">
        <v>4.3451413809</v>
      </c>
      <c r="F118" s="9" t="str">
        <f>IFERROR(__xludf.DUMMYFUNCTION("INDEX(GOOGLEFINANCE(""Currency:USD""&amp;$B118,""price"",date(YEAR($H$2),MONTH($H$2),DAY($H$2))),2,2)"),"#N/A")</f>
        <v>#N/A</v>
      </c>
    </row>
    <row r="119">
      <c r="B119" s="45" t="s">
        <v>3539</v>
      </c>
      <c r="C119" s="45" t="s">
        <v>3540</v>
      </c>
      <c r="D119" s="45">
        <f t="shared" si="1"/>
        <v>106.0000344</v>
      </c>
      <c r="E119" s="45">
        <v>106.000034369</v>
      </c>
      <c r="F119" s="9" t="str">
        <f>IFERROR(__xludf.DUMMYFUNCTION("INDEX(GOOGLEFINANCE(""Currency:USD""&amp;$B119,""price"",date(YEAR($H$2),MONTH($H$2),DAY($H$2))),2,2)"),"#N/A")</f>
        <v>#N/A</v>
      </c>
    </row>
    <row r="120">
      <c r="B120" s="45" t="s">
        <v>3541</v>
      </c>
      <c r="C120" s="45" t="s">
        <v>3542</v>
      </c>
      <c r="D120" s="45">
        <f t="shared" si="1"/>
        <v>72.42589182</v>
      </c>
      <c r="E120" s="45">
        <v>72.4258918165</v>
      </c>
      <c r="F120" s="9" t="str">
        <f>IFERROR(__xludf.DUMMYFUNCTION("INDEX(GOOGLEFINANCE(""Currency:USD""&amp;$B120,""price"",date(YEAR($H$2),MONTH($H$2),DAY($H$2))),2,2)"),"#N/A")</f>
        <v>#N/A</v>
      </c>
    </row>
    <row r="121">
      <c r="B121" s="45" t="s">
        <v>3543</v>
      </c>
      <c r="C121" s="45" t="s">
        <v>3544</v>
      </c>
      <c r="D121" s="45">
        <f t="shared" si="1"/>
        <v>929.2898137</v>
      </c>
      <c r="E121" s="45">
        <v>929.2898137299</v>
      </c>
      <c r="F121" s="9" t="str">
        <f>IFERROR(__xludf.DUMMYFUNCTION("INDEX(GOOGLEFINANCE(""Currency:USD""&amp;$B121,""price"",date(YEAR($H$2),MONTH($H$2),DAY($H$2))),2,2)"),"#N/A")</f>
        <v>#N/A</v>
      </c>
    </row>
    <row r="122">
      <c r="B122" s="45" t="s">
        <v>3545</v>
      </c>
      <c r="C122" s="45" t="s">
        <v>3546</v>
      </c>
      <c r="D122" s="45">
        <f t="shared" si="1"/>
        <v>3.75</v>
      </c>
      <c r="E122" s="45">
        <v>3.75</v>
      </c>
      <c r="F122" s="9" t="str">
        <f>IFERROR(__xludf.DUMMYFUNCTION("INDEX(GOOGLEFINANCE(""Currency:USD""&amp;$B122,""price"",date(YEAR($H$2),MONTH($H$2),DAY($H$2))),2,2)"),"#N/A")</f>
        <v>#N/A</v>
      </c>
    </row>
    <row r="123">
      <c r="B123" s="45" t="s">
        <v>3547</v>
      </c>
      <c r="C123" s="45" t="s">
        <v>3548</v>
      </c>
      <c r="D123" s="45">
        <f t="shared" si="1"/>
        <v>8.2678911</v>
      </c>
      <c r="E123" s="45">
        <v>8.2678911003</v>
      </c>
      <c r="F123" s="9" t="str">
        <f>IFERROR(__xludf.DUMMYFUNCTION("INDEX(GOOGLEFINANCE(""Currency:USD""&amp;$B123,""price"",date(YEAR($H$2),MONTH($H$2),DAY($H$2))),2,2)"),"#N/A")</f>
        <v>#N/A</v>
      </c>
    </row>
    <row r="124">
      <c r="B124" s="45" t="s">
        <v>3549</v>
      </c>
      <c r="C124" s="45" t="s">
        <v>3550</v>
      </c>
      <c r="D124" s="45">
        <f t="shared" si="1"/>
        <v>12.4661421</v>
      </c>
      <c r="E124" s="45">
        <v>12.4661420977</v>
      </c>
      <c r="F124" s="9" t="str">
        <f>IFERROR(__xludf.DUMMYFUNCTION("INDEX(GOOGLEFINANCE(""Currency:USD""&amp;$B124,""price"",date(YEAR($H$2),MONTH($H$2),DAY($H$2))),2,2)"),"#N/A")</f>
        <v>#N/A</v>
      </c>
    </row>
    <row r="125">
      <c r="B125" s="45" t="s">
        <v>3551</v>
      </c>
      <c r="C125" s="45" t="s">
        <v>3552</v>
      </c>
      <c r="D125" s="45">
        <f t="shared" si="1"/>
        <v>55.11270148</v>
      </c>
      <c r="E125" s="45">
        <v>55.112701484</v>
      </c>
      <c r="F125" s="9" t="str">
        <f>IFERROR(__xludf.DUMMYFUNCTION("INDEX(GOOGLEFINANCE(""Currency:USD""&amp;$B125,""price"",date(YEAR($H$2),MONTH($H$2),DAY($H$2))),2,2)"),"#N/A")</f>
        <v>#N/A</v>
      </c>
    </row>
    <row r="126">
      <c r="B126" s="45" t="s">
        <v>3553</v>
      </c>
      <c r="C126" s="45" t="s">
        <v>3554</v>
      </c>
      <c r="D126" s="45">
        <f t="shared" si="1"/>
        <v>9.705652882</v>
      </c>
      <c r="E126" s="45">
        <v>9.7056528817</v>
      </c>
      <c r="F126" s="9" t="str">
        <f>IFERROR(__xludf.DUMMYFUNCTION("INDEX(GOOGLEFINANCE(""Currency:USD""&amp;$B126,""price"",date(YEAR($H$2),MONTH($H$2),DAY($H$2))),2,2)"),"#N/A")</f>
        <v>#N/A</v>
      </c>
    </row>
    <row r="127">
      <c r="B127" s="45" t="s">
        <v>3555</v>
      </c>
      <c r="C127" s="45" t="s">
        <v>3556</v>
      </c>
      <c r="D127" s="45">
        <f t="shared" si="1"/>
        <v>1.415188888</v>
      </c>
      <c r="E127" s="45">
        <v>1.4151888882</v>
      </c>
      <c r="F127" s="9" t="str">
        <f>IFERROR(__xludf.DUMMYFUNCTION("INDEX(GOOGLEFINANCE(""Currency:USD""&amp;$B127,""price"",date(YEAR($H$2),MONTH($H$2),DAY($H$2))),2,2)"),"#N/A")</f>
        <v>#N/A</v>
      </c>
    </row>
    <row r="128">
      <c r="B128" s="45" t="s">
        <v>3557</v>
      </c>
      <c r="C128" s="45" t="s">
        <v>3558</v>
      </c>
      <c r="D128" s="45">
        <f t="shared" si="1"/>
        <v>0.8143333168</v>
      </c>
      <c r="E128" s="45">
        <v>0.8143333168</v>
      </c>
      <c r="F128" s="9" t="str">
        <f>IFERROR(__xludf.DUMMYFUNCTION("INDEX(GOOGLEFINANCE(""Currency:USD""&amp;$B128,""price"",date(YEAR($H$2),MONTH($H$2),DAY($H$2))),2,2)"),"#N/A")</f>
        <v>#N/A</v>
      </c>
    </row>
    <row r="129">
      <c r="B129" s="45" t="s">
        <v>3559</v>
      </c>
      <c r="C129" s="45" t="s">
        <v>3560</v>
      </c>
      <c r="D129" s="45">
        <f t="shared" si="1"/>
        <v>9698.569173</v>
      </c>
      <c r="E129" s="45">
        <v>9698.569173349</v>
      </c>
      <c r="F129" s="9" t="str">
        <f>IFERROR(__xludf.DUMMYFUNCTION("INDEX(GOOGLEFINANCE(""Currency:USD""&amp;$B129,""price"",date(YEAR($H$2),MONTH($H$2),DAY($H$2))),2,2)"),"#N/A")</f>
        <v>#N/A</v>
      </c>
    </row>
    <row r="130">
      <c r="B130" s="45" t="s">
        <v>3561</v>
      </c>
      <c r="C130" s="45" t="s">
        <v>3562</v>
      </c>
      <c r="D130" s="45">
        <f t="shared" si="1"/>
        <v>585.4742349</v>
      </c>
      <c r="E130" s="45">
        <v>585.4742349335</v>
      </c>
      <c r="F130" s="9" t="str">
        <f>IFERROR(__xludf.DUMMYFUNCTION("INDEX(GOOGLEFINANCE(""Currency:USD""&amp;$B130,""price"",date(YEAR($H$2),MONTH($H$2),DAY($H$2))),2,2)"),"#N/A")</f>
        <v>#N/A</v>
      </c>
    </row>
    <row r="131">
      <c r="B131" s="45" t="s">
        <v>3563</v>
      </c>
      <c r="C131" s="45" t="s">
        <v>3564</v>
      </c>
      <c r="D131" s="45">
        <f t="shared" si="1"/>
        <v>0.166666666</v>
      </c>
      <c r="E131" s="45">
        <v>0.166666666</v>
      </c>
      <c r="F131" s="9" t="str">
        <f>IFERROR(__xludf.DUMMYFUNCTION("INDEX(GOOGLEFINANCE(""Currency:USD""&amp;$B131,""price"",date(YEAR($H$2),MONTH($H$2),DAY($H$2))),2,2)"),"#N/A")</f>
        <v>#N/A</v>
      </c>
    </row>
    <row r="132">
      <c r="B132" s="45" t="s">
        <v>3565</v>
      </c>
      <c r="C132" s="45" t="s">
        <v>3566</v>
      </c>
      <c r="D132" s="45">
        <f t="shared" si="1"/>
        <v>7.41684818</v>
      </c>
      <c r="E132" s="45">
        <v>7.4168481801</v>
      </c>
      <c r="F132" s="9" t="str">
        <f>IFERROR(__xludf.DUMMYFUNCTION("INDEX(GOOGLEFINANCE(""Currency:USD""&amp;$B132,""price"",date(YEAR($H$2),MONTH($H$2),DAY($H$2))),2,2)"),"#N/A")</f>
        <v>#N/A</v>
      </c>
    </row>
    <row r="133">
      <c r="B133" s="45" t="s">
        <v>3567</v>
      </c>
      <c r="C133" s="45" t="s">
        <v>3568</v>
      </c>
      <c r="D133" s="45">
        <f t="shared" si="1"/>
        <v>22.04942587</v>
      </c>
      <c r="E133" s="45">
        <v>22.0494258738</v>
      </c>
      <c r="F133" s="9" t="str">
        <f>IFERROR(__xludf.DUMMYFUNCTION("INDEX(GOOGLEFINANCE(""Currency:USD""&amp;$B133,""price"",date(YEAR($H$2),MONTH($H$2),DAY($H$2))),2,2)"),"#N/A")</f>
        <v>#N/A</v>
      </c>
    </row>
    <row r="134">
      <c r="B134" s="45" t="s">
        <v>3569</v>
      </c>
      <c r="C134" s="45" t="s">
        <v>3570</v>
      </c>
      <c r="D134" s="45">
        <f t="shared" si="1"/>
        <v>8.75</v>
      </c>
      <c r="E134" s="45">
        <v>8.75</v>
      </c>
      <c r="F134" s="9" t="str">
        <f>IFERROR(__xludf.DUMMYFUNCTION("INDEX(GOOGLEFINANCE(""Currency:USD""&amp;$B134,""price"",date(YEAR($H$2),MONTH($H$2),DAY($H$2))),2,2)"),"#N/A")</f>
        <v>#N/A</v>
      </c>
    </row>
    <row r="135">
      <c r="B135" s="45" t="s">
        <v>3571</v>
      </c>
      <c r="C135" s="45" t="s">
        <v>3572</v>
      </c>
      <c r="D135" s="45">
        <f t="shared" si="1"/>
        <v>514.99882</v>
      </c>
      <c r="E135" s="45">
        <v>514.9988200232</v>
      </c>
      <c r="F135" s="9" t="str">
        <f>IFERROR(__xludf.DUMMYFUNCTION("INDEX(GOOGLEFINANCE(""Currency:USD""&amp;$B135,""price"",date(YEAR($H$2),MONTH($H$2),DAY($H$2))),2,2)"),"#N/A")</f>
        <v>#N/A</v>
      </c>
    </row>
    <row r="136">
      <c r="B136" s="45" t="s">
        <v>3573</v>
      </c>
      <c r="C136" s="45" t="s">
        <v>3574</v>
      </c>
      <c r="D136" s="45">
        <f t="shared" si="1"/>
        <v>16.21261923</v>
      </c>
      <c r="E136" s="45">
        <v>16.2126192349</v>
      </c>
      <c r="F136" s="9" t="str">
        <f>IFERROR(__xludf.DUMMYFUNCTION("INDEX(GOOGLEFINANCE(""Currency:USD""&amp;$B136,""price"",date(YEAR($H$2),MONTH($H$2),DAY($H$2))),2,2)"),"#N/A")</f>
        <v>#N/A</v>
      </c>
    </row>
    <row r="137">
      <c r="B137" s="45" t="s">
        <v>3575</v>
      </c>
      <c r="C137" s="45" t="s">
        <v>3576</v>
      </c>
      <c r="D137" s="45">
        <f t="shared" si="1"/>
        <v>31.67688428</v>
      </c>
      <c r="E137" s="45">
        <v>31.6768842812</v>
      </c>
      <c r="F137" s="9" t="str">
        <f>IFERROR(__xludf.DUMMYFUNCTION("INDEX(GOOGLEFINANCE(""Currency:USD""&amp;$B137,""price"",date(YEAR($H$2),MONTH($H$2),DAY($H$2))),2,2)"),"#N/A")</f>
        <v>#N/A</v>
      </c>
    </row>
    <row r="138">
      <c r="B138" s="45" t="s">
        <v>3577</v>
      </c>
      <c r="C138" s="45" t="s">
        <v>3578</v>
      </c>
      <c r="D138" s="45">
        <f t="shared" si="1"/>
        <v>9.69489948</v>
      </c>
      <c r="E138" s="45">
        <v>9.6948994797</v>
      </c>
      <c r="F138" s="9" t="str">
        <f>IFERROR(__xludf.DUMMYFUNCTION("INDEX(GOOGLEFINANCE(""Currency:USD""&amp;$B138,""price"",date(YEAR($H$2),MONTH($H$2),DAY($H$2))),2,2)"),"#N/A")</f>
        <v>#N/A</v>
      </c>
    </row>
    <row r="139">
      <c r="B139" s="45" t="s">
        <v>3579</v>
      </c>
      <c r="C139" s="45" t="s">
        <v>3580</v>
      </c>
      <c r="D139" s="45">
        <f t="shared" si="1"/>
        <v>3.500000006</v>
      </c>
      <c r="E139" s="45">
        <v>3.5000000061</v>
      </c>
      <c r="F139" s="9" t="str">
        <f>IFERROR(__xludf.DUMMYFUNCTION("INDEX(GOOGLEFINANCE(""Currency:USD""&amp;$B139,""price"",date(YEAR($H$2),MONTH($H$2),DAY($H$2))),2,2)"),"#N/A")</f>
        <v>#N/A</v>
      </c>
    </row>
    <row r="140">
      <c r="B140" s="45" t="s">
        <v>3581</v>
      </c>
      <c r="C140" s="45" t="s">
        <v>3582</v>
      </c>
      <c r="D140" s="45">
        <f t="shared" si="1"/>
        <v>2.837827479</v>
      </c>
      <c r="E140" s="45">
        <v>2.8378274794</v>
      </c>
      <c r="F140" s="9" t="str">
        <f>IFERROR(__xludf.DUMMYFUNCTION("INDEX(GOOGLEFINANCE(""Currency:USD""&amp;$B140,""price"",date(YEAR($H$2),MONTH($H$2),DAY($H$2))),2,2)"),"#N/A")</f>
        <v>#N/A</v>
      </c>
    </row>
    <row r="141">
      <c r="B141" s="45" t="s">
        <v>3583</v>
      </c>
      <c r="C141" s="45" t="s">
        <v>3584</v>
      </c>
      <c r="D141" s="45">
        <f t="shared" si="1"/>
        <v>2.416021154</v>
      </c>
      <c r="E141" s="45">
        <v>2.416021154</v>
      </c>
      <c r="F141" s="9" t="str">
        <f>IFERROR(__xludf.DUMMYFUNCTION("INDEX(GOOGLEFINANCE(""Currency:USD""&amp;$B141,""price"",date(YEAR($H$2),MONTH($H$2),DAY($H$2))),2,2)"),"#N/A")</f>
        <v>#N/A</v>
      </c>
    </row>
    <row r="142">
      <c r="B142" s="45" t="s">
        <v>3585</v>
      </c>
      <c r="C142" s="45" t="s">
        <v>3586</v>
      </c>
      <c r="D142" s="45">
        <f t="shared" si="1"/>
        <v>6.332381702</v>
      </c>
      <c r="E142" s="45">
        <v>6.3323817019</v>
      </c>
      <c r="F142" s="9" t="str">
        <f>IFERROR(__xludf.DUMMYFUNCTION("INDEX(GOOGLEFINANCE(""Currency:USD""&amp;$B142,""price"",date(YEAR($H$2),MONTH($H$2),DAY($H$2))),2,2)"),"#N/A")</f>
        <v>#N/A</v>
      </c>
    </row>
    <row r="143">
      <c r="B143" s="45" t="s">
        <v>3587</v>
      </c>
      <c r="C143" s="45" t="s">
        <v>3588</v>
      </c>
      <c r="D143" s="45">
        <f t="shared" si="1"/>
        <v>6.774516793</v>
      </c>
      <c r="E143" s="45">
        <v>6.7745167932</v>
      </c>
      <c r="F143" s="9" t="str">
        <f>IFERROR(__xludf.DUMMYFUNCTION("INDEX(GOOGLEFINANCE(""Currency:USD""&amp;$B143,""price"",date(YEAR($H$2),MONTH($H$2),DAY($H$2))),2,2)"),"#N/A")</f>
        <v>#N/A</v>
      </c>
    </row>
    <row r="144">
      <c r="B144" s="45" t="s">
        <v>3589</v>
      </c>
      <c r="C144" s="45" t="s">
        <v>3590</v>
      </c>
      <c r="D144" s="45">
        <f t="shared" si="1"/>
        <v>1.618033684</v>
      </c>
      <c r="E144" s="45">
        <v>1.6180336841</v>
      </c>
      <c r="F144" s="9" t="str">
        <f>IFERROR(__xludf.DUMMYFUNCTION("INDEX(GOOGLEFINANCE(""Currency:USD""&amp;$B144,""price"",date(YEAR($H$2),MONTH($H$2),DAY($H$2))),2,2)"),"#N/A")</f>
        <v>#N/A</v>
      </c>
    </row>
    <row r="145">
      <c r="B145" s="45" t="s">
        <v>3591</v>
      </c>
      <c r="C145" s="45" t="s">
        <v>3592</v>
      </c>
      <c r="D145" s="45">
        <f t="shared" si="1"/>
        <v>30.18299027</v>
      </c>
      <c r="E145" s="45">
        <v>30.1829902706</v>
      </c>
      <c r="F145" s="9" t="str">
        <f>IFERROR(__xludf.DUMMYFUNCTION("INDEX(GOOGLEFINANCE(""Currency:USD""&amp;$B145,""price"",date(YEAR($H$2),MONTH($H$2),DAY($H$2))),2,2)"),"#N/A")</f>
        <v>#N/A</v>
      </c>
    </row>
    <row r="146">
      <c r="B146" s="45" t="s">
        <v>3593</v>
      </c>
      <c r="C146" s="45" t="s">
        <v>3594</v>
      </c>
      <c r="D146" s="45">
        <f t="shared" si="1"/>
        <v>2299.441573</v>
      </c>
      <c r="E146" s="45">
        <v>2299.4415734349</v>
      </c>
      <c r="F146" s="9" t="str">
        <f>IFERROR(__xludf.DUMMYFUNCTION("INDEX(GOOGLEFINANCE(""Currency:USD""&amp;$B146,""price"",date(YEAR($H$2),MONTH($H$2),DAY($H$2))),2,2)"),"#N/A")</f>
        <v>#N/A</v>
      </c>
    </row>
    <row r="147">
      <c r="B147" s="45" t="s">
        <v>3595</v>
      </c>
      <c r="C147" s="45" t="s">
        <v>3596</v>
      </c>
      <c r="D147" s="45">
        <f t="shared" si="1"/>
        <v>26.31470252</v>
      </c>
      <c r="E147" s="45">
        <v>26.3147025184</v>
      </c>
      <c r="F147" s="9" t="str">
        <f>IFERROR(__xludf.DUMMYFUNCTION("INDEX(GOOGLEFINANCE(""Currency:USD""&amp;$B147,""price"",date(YEAR($H$2),MONTH($H$2),DAY($H$2))),2,2)"),"#N/A")</f>
        <v>#N/A</v>
      </c>
    </row>
    <row r="148">
      <c r="B148" s="45" t="s">
        <v>3597</v>
      </c>
      <c r="C148" s="45" t="s">
        <v>3598</v>
      </c>
      <c r="D148" s="45">
        <f t="shared" si="1"/>
        <v>3715.230938</v>
      </c>
      <c r="E148" s="45">
        <v>3715.2309381726</v>
      </c>
      <c r="F148" s="9" t="str">
        <f>IFERROR(__xludf.DUMMYFUNCTION("INDEX(GOOGLEFINANCE(""Currency:USD""&amp;$B148,""price"",date(YEAR($H$2),MONTH($H$2),DAY($H$2))),2,2)"),"#N/A")</f>
        <v>#N/A</v>
      </c>
    </row>
    <row r="149">
      <c r="B149" s="45" t="s">
        <v>3599</v>
      </c>
      <c r="C149" s="45" t="s">
        <v>3600</v>
      </c>
      <c r="D149" s="45">
        <f t="shared" si="1"/>
        <v>1</v>
      </c>
      <c r="E149" s="45">
        <v>1.0</v>
      </c>
      <c r="F149" s="9" t="str">
        <f>IFERROR(__xludf.DUMMYFUNCTION("INDEX(GOOGLEFINANCE(""Currency:USD""&amp;$B149,""price"",date(YEAR($H$2),MONTH($H$2),DAY($H$2))),2,2)"),"#N/A")</f>
        <v>#N/A</v>
      </c>
    </row>
    <row r="150">
      <c r="B150" s="45" t="s">
        <v>3601</v>
      </c>
      <c r="C150" s="45" t="s">
        <v>3602</v>
      </c>
      <c r="D150" s="45">
        <f t="shared" si="1"/>
        <v>44.49932532</v>
      </c>
      <c r="E150" s="45">
        <v>44.4993253179</v>
      </c>
      <c r="F150" s="9" t="str">
        <f>IFERROR(__xludf.DUMMYFUNCTION("INDEX(GOOGLEFINANCE(""Currency:USD""&amp;$B150,""price"",date(YEAR($H$2),MONTH($H$2),DAY($H$2))),2,2)"),"#N/A")</f>
        <v>#N/A</v>
      </c>
    </row>
    <row r="151">
      <c r="B151" s="45" t="s">
        <v>3603</v>
      </c>
      <c r="C151" s="45" t="s">
        <v>3604</v>
      </c>
      <c r="D151" s="45">
        <f t="shared" si="1"/>
        <v>9500.417566</v>
      </c>
      <c r="E151" s="45">
        <v>9500.4175662427</v>
      </c>
      <c r="F151" s="9" t="str">
        <f>IFERROR(__xludf.DUMMYFUNCTION("INDEX(GOOGLEFINANCE(""Currency:USD""&amp;$B151,""price"",date(YEAR($H$2),MONTH($H$2),DAY($H$2))),2,2)"),"#N/A")</f>
        <v>#N/A</v>
      </c>
    </row>
    <row r="152">
      <c r="B152" s="45" t="s">
        <v>3605</v>
      </c>
      <c r="C152" s="45" t="s">
        <v>3606</v>
      </c>
      <c r="D152" s="45">
        <f t="shared" si="1"/>
        <v>9.9875</v>
      </c>
      <c r="E152" s="45">
        <v>9.9875</v>
      </c>
      <c r="F152" s="9" t="str">
        <f>IFERROR(__xludf.DUMMYFUNCTION("INDEX(GOOGLEFINANCE(""Currency:USD""&amp;$B152,""price"",date(YEAR($H$2),MONTH($H$2),DAY($H$2))),2,2)"),"#N/A")</f>
        <v>#N/A</v>
      </c>
    </row>
    <row r="153">
      <c r="B153" s="45" t="s">
        <v>3607</v>
      </c>
      <c r="C153" s="45" t="s">
        <v>3606</v>
      </c>
      <c r="D153" s="45">
        <f t="shared" si="1"/>
        <v>73572.04687</v>
      </c>
      <c r="E153" s="45">
        <v>73572.0468749157</v>
      </c>
      <c r="F153" s="9" t="str">
        <f>IFERROR(__xludf.DUMMYFUNCTION("INDEX(GOOGLEFINANCE(""Currency:USD""&amp;$B153,""price"",date(YEAR($H$2),MONTH($H$2),DAY($H$2))),2,2)"),"#N/A")</f>
        <v>#N/A</v>
      </c>
    </row>
    <row r="154">
      <c r="B154" s="45" t="s">
        <v>3608</v>
      </c>
      <c r="C154" s="45" t="s">
        <v>3609</v>
      </c>
      <c r="D154" s="45">
        <f t="shared" si="1"/>
        <v>23234.80322</v>
      </c>
      <c r="E154" s="45">
        <v>23234.8032157037</v>
      </c>
      <c r="F154" s="9" t="str">
        <f>IFERROR(__xludf.DUMMYFUNCTION("INDEX(GOOGLEFINANCE(""Currency:USD""&amp;$B154,""price"",date(YEAR($H$2),MONTH($H$2),DAY($H$2))),2,2)"),"#N/A")</f>
        <v>#N/A</v>
      </c>
    </row>
    <row r="155">
      <c r="B155" s="45" t="s">
        <v>3610</v>
      </c>
      <c r="C155" s="45" t="s">
        <v>3611</v>
      </c>
      <c r="D155" s="45">
        <f t="shared" si="1"/>
        <v>119.8189333</v>
      </c>
      <c r="E155" s="45">
        <v>119.8189333348</v>
      </c>
      <c r="F155" s="9" t="str">
        <f>IFERROR(__xludf.DUMMYFUNCTION("INDEX(GOOGLEFINANCE(""Currency:USD""&amp;$B155,""price"",date(YEAR($H$2),MONTH($H$2),DAY($H$2))),2,2)"),"#N/A")</f>
        <v>#N/A</v>
      </c>
    </row>
    <row r="156">
      <c r="B156" s="45" t="s">
        <v>3612</v>
      </c>
      <c r="C156" s="45" t="s">
        <v>3613</v>
      </c>
      <c r="D156" s="45">
        <f t="shared" si="1"/>
        <v>2.778524847</v>
      </c>
      <c r="E156" s="45">
        <v>2.7785248474</v>
      </c>
      <c r="F156" s="9" t="str">
        <f>IFERROR(__xludf.DUMMYFUNCTION("INDEX(GOOGLEFINANCE(""Currency:USD""&amp;$B156,""price"",date(YEAR($H$2),MONTH($H$2),DAY($H$2))),2,2)"),"#N/A")</f>
        <v>#N/A</v>
      </c>
    </row>
    <row r="157">
      <c r="B157" s="45" t="s">
        <v>3614</v>
      </c>
      <c r="C157" s="45" t="s">
        <v>3615</v>
      </c>
      <c r="D157" s="45">
        <f t="shared" si="1"/>
        <v>590.3620196</v>
      </c>
      <c r="E157" s="45">
        <v>590.3620195848</v>
      </c>
      <c r="F157" s="9" t="str">
        <f>IFERROR(__xludf.DUMMYFUNCTION("INDEX(GOOGLEFINANCE(""Currency:USD""&amp;$B157,""price"",date(YEAR($H$2),MONTH($H$2),DAY($H$2))),2,2)"),"#N/A")</f>
        <v>#N/A</v>
      </c>
    </row>
    <row r="158">
      <c r="B158" s="45" t="s">
        <v>3616</v>
      </c>
      <c r="C158" s="45" t="s">
        <v>3617</v>
      </c>
      <c r="D158" s="45">
        <f t="shared" si="1"/>
        <v>0.0680271512</v>
      </c>
      <c r="E158" s="45">
        <v>0.0680271512</v>
      </c>
      <c r="F158" s="9" t="str">
        <f>IFERROR(__xludf.DUMMYFUNCTION("INDEX(GOOGLEFINANCE(""Currency:USD""&amp;$B158,""price"",date(YEAR($H$2),MONTH($H$2),DAY($H$2))),2,2)"),"#N/A")</f>
        <v>#N/A</v>
      </c>
    </row>
    <row r="159">
      <c r="B159" s="45" t="s">
        <v>3618</v>
      </c>
      <c r="C159" s="45" t="s">
        <v>3619</v>
      </c>
      <c r="D159" s="45">
        <f t="shared" si="1"/>
        <v>0.0006537229</v>
      </c>
      <c r="E159" s="45">
        <v>6.537229E-4</v>
      </c>
      <c r="F159" s="9" t="str">
        <f>IFERROR(__xludf.DUMMYFUNCTION("INDEX(GOOGLEFINANCE(""Currency:USD""&amp;$B159,""price"",date(YEAR($H$2),MONTH($H$2),DAY($H$2))),2,2)"),"#N/A")</f>
        <v>#N/A</v>
      </c>
    </row>
    <row r="160">
      <c r="B160" s="45" t="s">
        <v>3620</v>
      </c>
      <c r="C160" s="45" t="s">
        <v>3621</v>
      </c>
      <c r="D160" s="45">
        <f t="shared" si="1"/>
        <v>2.700109536</v>
      </c>
      <c r="E160" s="45">
        <v>2.7001095356</v>
      </c>
      <c r="F160" s="9" t="str">
        <f>IFERROR(__xludf.DUMMYFUNCTION("INDEX(GOOGLEFINANCE(""Currency:USD""&amp;$B160,""price"",date(YEAR($H$2),MONTH($H$2),DAY($H$2))),2,2)"),"#N/A")</f>
        <v>#N/A</v>
      </c>
    </row>
    <row r="161">
      <c r="B161" s="45" t="s">
        <v>3622</v>
      </c>
      <c r="C161" s="45" t="s">
        <v>3623</v>
      </c>
      <c r="D161" s="45">
        <f t="shared" si="1"/>
        <v>0.7256051631</v>
      </c>
      <c r="E161" s="45">
        <v>0.7256051631</v>
      </c>
      <c r="F161" s="9" t="str">
        <f>IFERROR(__xludf.DUMMYFUNCTION("INDEX(GOOGLEFINANCE(""Currency:USD""&amp;$B161,""price"",date(YEAR($H$2),MONTH($H$2),DAY($H$2))),2,2)"),"#N/A")</f>
        <v>#N/A</v>
      </c>
    </row>
    <row r="162">
      <c r="B162" s="45" t="s">
        <v>3624</v>
      </c>
      <c r="C162" s="45" t="s">
        <v>3625</v>
      </c>
      <c r="D162" s="45">
        <f t="shared" si="1"/>
        <v>590.3620196</v>
      </c>
      <c r="E162" s="45">
        <v>590.3620195848</v>
      </c>
      <c r="F162" s="9" t="str">
        <f>IFERROR(__xludf.DUMMYFUNCTION("INDEX(GOOGLEFINANCE(""Currency:USD""&amp;$B162,""price"",date(YEAR($H$2),MONTH($H$2),DAY($H$2))),2,2)"),"#N/A")</f>
        <v>#N/A</v>
      </c>
    </row>
    <row r="163">
      <c r="B163" s="45" t="s">
        <v>3626</v>
      </c>
      <c r="C163" s="45" t="s">
        <v>3627</v>
      </c>
      <c r="D163" s="45">
        <f t="shared" si="1"/>
        <v>0.0005861148</v>
      </c>
      <c r="E163" s="45">
        <v>5.861148E-4</v>
      </c>
      <c r="F163" s="9" t="str">
        <f>IFERROR(__xludf.DUMMYFUNCTION("INDEX(GOOGLEFINANCE(""Currency:USD""&amp;$B163,""price"",date(YEAR($H$2),MONTH($H$2),DAY($H$2))),2,2)"),"#N/A")</f>
        <v>#N/A</v>
      </c>
    </row>
    <row r="164">
      <c r="B164" s="45" t="s">
        <v>3628</v>
      </c>
      <c r="C164" s="45" t="s">
        <v>3629</v>
      </c>
      <c r="D164" s="45">
        <f t="shared" si="1"/>
        <v>107.3986989</v>
      </c>
      <c r="E164" s="45">
        <v>107.3986989256</v>
      </c>
      <c r="F164" s="9" t="str">
        <f>IFERROR(__xludf.DUMMYFUNCTION("INDEX(GOOGLEFINANCE(""Currency:USD""&amp;$B164,""price"",date(YEAR($H$2),MONTH($H$2),DAY($H$2))),2,2)"),"#N/A")</f>
        <v>#N/A</v>
      </c>
    </row>
    <row r="165">
      <c r="B165" s="45" t="s">
        <v>3630</v>
      </c>
      <c r="C165" s="45" t="s">
        <v>3631</v>
      </c>
      <c r="D165" s="45">
        <f t="shared" si="1"/>
        <v>0.0013339013</v>
      </c>
      <c r="E165" s="45">
        <v>0.0013339013</v>
      </c>
      <c r="F165" s="9" t="str">
        <f>IFERROR(__xludf.DUMMYFUNCTION("INDEX(GOOGLEFINANCE(""Currency:USD""&amp;$B165,""price"",date(YEAR($H$2),MONTH($H$2),DAY($H$2))),2,2)"),"#N/A")</f>
        <v>#N/A</v>
      </c>
    </row>
    <row r="166">
      <c r="B166" s="45" t="s">
        <v>3632</v>
      </c>
      <c r="C166" s="45" t="s">
        <v>3633</v>
      </c>
      <c r="D166" s="45">
        <f t="shared" si="1"/>
        <v>249.7737364</v>
      </c>
      <c r="E166" s="45">
        <v>249.7737364085</v>
      </c>
      <c r="F166" s="9" t="str">
        <f>IFERROR(__xludf.DUMMYFUNCTION("INDEX(GOOGLEFINANCE(""Currency:USD""&amp;$B166,""price"",date(YEAR($H$2),MONTH($H$2),DAY($H$2))),2,2)"),"#N/A")</f>
        <v>#N/A</v>
      </c>
    </row>
    <row r="167">
      <c r="B167" s="45" t="s">
        <v>3634</v>
      </c>
      <c r="C167" s="45" t="s">
        <v>3635</v>
      </c>
      <c r="D167" s="45">
        <f t="shared" si="1"/>
        <v>16.21261923</v>
      </c>
      <c r="E167" s="45">
        <v>16.2126192349</v>
      </c>
      <c r="F167" s="9" t="str">
        <f>IFERROR(__xludf.DUMMYFUNCTION("INDEX(GOOGLEFINANCE(""Currency:USD""&amp;$B167,""price"",date(YEAR($H$2),MONTH($H$2),DAY($H$2))),2,2)"),"#N/A")</f>
        <v>#N/A</v>
      </c>
    </row>
    <row r="168">
      <c r="B168" s="45" t="s">
        <v>3636</v>
      </c>
      <c r="C168" s="45" t="s">
        <v>3637</v>
      </c>
      <c r="D168" s="45">
        <f t="shared" si="1"/>
        <v>15.9797014</v>
      </c>
      <c r="E168" s="45">
        <v>15.9797014039</v>
      </c>
      <c r="F168" s="9" t="str">
        <f>IFERROR(__xludf.DUMMYFUNCTION("INDEX(GOOGLEFINANCE(""Currency:USD""&amp;$B168,""price"",date(YEAR($H$2),MONTH($H$2),DAY($H$2))),2,2)"),"#N/A")</f>
        <v>#N/A</v>
      </c>
    </row>
    <row r="169">
      <c r="B169" s="45" t="s">
        <v>3638</v>
      </c>
      <c r="C169" s="45" t="s">
        <v>3639</v>
      </c>
      <c r="D169" s="45">
        <f t="shared" si="1"/>
        <v>361.9</v>
      </c>
      <c r="E169" s="45">
        <v>361.9</v>
      </c>
      <c r="F169" s="9" t="str">
        <f>IFERROR(__xludf.DUMMYFUNCTION("INDEX(GOOGLEFINANCE(""Currency:USD""&amp;$B169,""price"",date(YEAR($H$2),MONTH($H$2),DAY($H$2))),2,2)"),"#N/A")</f>
        <v>#N/A</v>
      </c>
    </row>
  </sheetData>
  <hyperlinks>
    <hyperlink r:id="rId1" ref="H1"/>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12.57"/>
    <col customWidth="1" min="2" max="3" width="25.86"/>
    <col customWidth="1" min="4" max="4" width="16.86"/>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4.86"/>
    <col customWidth="1" min="2" max="19" width="14.43"/>
    <col customWidth="1" min="23" max="23" width="22.57"/>
  </cols>
  <sheetData>
    <row r="1"/>
    <row r="2">
      <c r="W2" s="48" t="str">
        <f>A2</f>
        <v>Country</v>
      </c>
      <c r="X2" s="48" t="str">
        <f t="shared" ref="X2:X31" si="1">U2</f>
        <v>Grand Total</v>
      </c>
    </row>
    <row r="3">
      <c r="W3" s="46" t="str">
        <f t="shared" ref="W3:W31" si="2">LEFT(A3,LEN(A3)-5)</f>
        <v>Argentina</v>
      </c>
      <c r="X3" s="47">
        <f t="shared" si="1"/>
        <v>47067.39343</v>
      </c>
    </row>
    <row r="4">
      <c r="W4" s="46" t="str">
        <f t="shared" si="2"/>
        <v>Australia</v>
      </c>
      <c r="X4" s="47">
        <f t="shared" si="1"/>
        <v>23856328.97</v>
      </c>
    </row>
    <row r="5">
      <c r="W5" s="46" t="str">
        <f t="shared" si="2"/>
        <v>Austria</v>
      </c>
      <c r="X5" s="47">
        <f t="shared" si="1"/>
        <v>1088887.562</v>
      </c>
    </row>
    <row r="6">
      <c r="W6" s="46" t="str">
        <f t="shared" si="2"/>
        <v>Bahamas</v>
      </c>
      <c r="X6" s="47">
        <f t="shared" si="1"/>
        <v>327126.3211</v>
      </c>
    </row>
    <row r="7">
      <c r="W7" s="46" t="str">
        <f t="shared" si="2"/>
        <v>Belgium</v>
      </c>
      <c r="X7" s="47">
        <f t="shared" si="1"/>
        <v>2666663.416</v>
      </c>
    </row>
    <row r="8">
      <c r="W8" s="46" t="str">
        <f t="shared" si="2"/>
        <v>Canada</v>
      </c>
      <c r="X8" s="47">
        <f t="shared" si="1"/>
        <v>4617782.868</v>
      </c>
    </row>
    <row r="9">
      <c r="W9" s="46" t="str">
        <f t="shared" si="2"/>
        <v>Chile</v>
      </c>
      <c r="X9" s="47">
        <f t="shared" si="1"/>
        <v>167605.1276</v>
      </c>
    </row>
    <row r="10">
      <c r="W10" s="46" t="str">
        <f t="shared" si="2"/>
        <v>Colombia</v>
      </c>
      <c r="X10" s="47">
        <f t="shared" si="1"/>
        <v>44765.61622</v>
      </c>
    </row>
    <row r="11">
      <c r="W11" s="46" t="str">
        <f t="shared" si="2"/>
        <v>Costa Rica</v>
      </c>
      <c r="X11" s="47">
        <f t="shared" si="1"/>
        <v>21990750</v>
      </c>
    </row>
    <row r="12">
      <c r="W12" s="46" t="str">
        <f t="shared" si="2"/>
        <v>Denmark</v>
      </c>
      <c r="X12" s="47">
        <f t="shared" si="1"/>
        <v>1501569.14</v>
      </c>
    </row>
    <row r="13">
      <c r="W13" s="46" t="str">
        <f t="shared" si="2"/>
        <v>Finland</v>
      </c>
      <c r="X13" s="47">
        <f t="shared" si="1"/>
        <v>934129.5403</v>
      </c>
    </row>
    <row r="14">
      <c r="W14" s="46" t="str">
        <f t="shared" si="2"/>
        <v>Germany</v>
      </c>
      <c r="X14" s="47">
        <f t="shared" si="1"/>
        <v>9219967.503</v>
      </c>
    </row>
    <row r="15">
      <c r="W15" s="46" t="str">
        <f t="shared" si="2"/>
        <v>Greece</v>
      </c>
      <c r="X15" s="47">
        <f t="shared" si="1"/>
        <v>0</v>
      </c>
    </row>
    <row r="16">
      <c r="W16" s="46" t="str">
        <f t="shared" si="2"/>
        <v>Hong Kong, SAR China</v>
      </c>
      <c r="X16" s="47">
        <f t="shared" si="1"/>
        <v>67087338.68</v>
      </c>
    </row>
    <row r="17">
      <c r="W17" s="46" t="str">
        <f t="shared" si="2"/>
        <v>Ireland</v>
      </c>
      <c r="X17" s="47">
        <f t="shared" si="1"/>
        <v>6364652.136</v>
      </c>
    </row>
    <row r="18">
      <c r="W18" s="46" t="str">
        <f t="shared" si="2"/>
        <v>Italy</v>
      </c>
      <c r="X18" s="47">
        <f t="shared" si="1"/>
        <v>0</v>
      </c>
    </row>
    <row r="19">
      <c r="W19" s="46" t="str">
        <f t="shared" si="2"/>
        <v>Jamaica</v>
      </c>
      <c r="X19" s="47">
        <f t="shared" si="1"/>
        <v>667448.4029</v>
      </c>
    </row>
    <row r="20">
      <c r="W20" s="46" t="str">
        <f t="shared" si="2"/>
        <v>Netherlands</v>
      </c>
      <c r="X20" s="47">
        <f t="shared" si="1"/>
        <v>381041.2093</v>
      </c>
    </row>
    <row r="21">
      <c r="W21" s="46" t="str">
        <f t="shared" si="2"/>
        <v>New Zealand</v>
      </c>
      <c r="X21" s="47">
        <f t="shared" si="1"/>
        <v>13738858.9</v>
      </c>
    </row>
    <row r="22">
      <c r="W22" s="46" t="str">
        <f t="shared" si="2"/>
        <v>Norway</v>
      </c>
      <c r="X22" s="47">
        <f t="shared" si="1"/>
        <v>384699.9341</v>
      </c>
    </row>
    <row r="23">
      <c r="W23" s="46" t="str">
        <f t="shared" si="2"/>
        <v>Paraguay</v>
      </c>
      <c r="X23" s="47">
        <f t="shared" si="1"/>
        <v>275000</v>
      </c>
    </row>
    <row r="24">
      <c r="W24" s="46" t="str">
        <f t="shared" si="2"/>
        <v>Poland</v>
      </c>
      <c r="X24" s="47">
        <f t="shared" si="1"/>
        <v>11097023.05</v>
      </c>
    </row>
    <row r="25">
      <c r="W25" s="46" t="str">
        <f t="shared" si="2"/>
        <v>Puerto Rico</v>
      </c>
      <c r="X25" s="47">
        <f t="shared" si="1"/>
        <v>7890000</v>
      </c>
    </row>
    <row r="26">
      <c r="W26" s="46" t="str">
        <f t="shared" si="2"/>
        <v>South Africa</v>
      </c>
      <c r="X26" s="47">
        <f t="shared" si="1"/>
        <v>77619.66365</v>
      </c>
    </row>
    <row r="27">
      <c r="W27" s="46" t="str">
        <f t="shared" si="2"/>
        <v>Spain</v>
      </c>
      <c r="X27" s="47">
        <f t="shared" si="1"/>
        <v>5300119.253</v>
      </c>
    </row>
    <row r="28">
      <c r="W28" s="46" t="str">
        <f t="shared" si="2"/>
        <v>Sweden</v>
      </c>
      <c r="X28" s="47">
        <f t="shared" si="1"/>
        <v>12002112.72</v>
      </c>
    </row>
    <row r="29">
      <c r="W29" s="46" t="str">
        <f t="shared" si="2"/>
        <v>Switzerland</v>
      </c>
      <c r="X29" s="47">
        <f t="shared" si="1"/>
        <v>0</v>
      </c>
    </row>
    <row r="30">
      <c r="W30" s="46" t="str">
        <f t="shared" si="2"/>
        <v>United Kingdom</v>
      </c>
      <c r="X30" s="47">
        <f t="shared" si="1"/>
        <v>155061829.8</v>
      </c>
    </row>
    <row r="31">
      <c r="W31" s="46" t="str">
        <f t="shared" si="2"/>
        <v>United States</v>
      </c>
      <c r="X31" s="47">
        <f t="shared" si="1"/>
        <v>2350622732</v>
      </c>
    </row>
    <row r="32"/>
  </sheetData>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9" width="21.57"/>
  </cols>
  <sheetData>
    <row r="2">
      <c r="A2" s="49" t="s">
        <v>3659</v>
      </c>
    </row>
    <row r="3">
      <c r="A3" s="5" t="s">
        <v>3660</v>
      </c>
      <c r="B3" s="1" t="s">
        <v>3661</v>
      </c>
      <c r="C3" s="1" t="s">
        <v>3662</v>
      </c>
      <c r="D3" s="1" t="s">
        <v>3663</v>
      </c>
      <c r="E3" s="1" t="s">
        <v>3664</v>
      </c>
      <c r="F3" s="1" t="s">
        <v>3665</v>
      </c>
      <c r="G3" s="1" t="s">
        <v>3666</v>
      </c>
      <c r="H3" s="1" t="s">
        <v>3667</v>
      </c>
      <c r="I3" s="1" t="s">
        <v>3658</v>
      </c>
    </row>
    <row r="4">
      <c r="A4" s="50">
        <v>2004.0</v>
      </c>
      <c r="B4" s="47" t="str">
        <f>GETPIVOTDATA("USD Value",'Total Sales by Country per Year'!$A$1,"Country","Australia - AU","Year of Sale",$A4)</f>
        <v/>
      </c>
      <c r="C4" s="47" t="str">
        <f>GETPIVOTDATA("USD Value",'Total Sales by Country per Year'!$A$1,"Country","Canada - CA","Year of Sale",$A4)</f>
        <v/>
      </c>
      <c r="D4" s="47" t="str">
        <f>GETPIVOTDATA("USD Value",'Total Sales by Country per Year'!$A$1,"Country","Germany - DE","Year of Sale",$A4)</f>
        <v/>
      </c>
      <c r="E4" s="47" t="str">
        <f>GETPIVOTDATA("USD Value",'Total Sales by Country per Year'!$A$1,"Country","Netherlands - NL","Year of Sale",$A4)</f>
        <v/>
      </c>
      <c r="F4" s="47" t="str">
        <f>GETPIVOTDATA("USD Value",'Total Sales by Country per Year'!$A$1,"Country","New Zealand - NZ","Year of Sale",$A4)</f>
        <v/>
      </c>
      <c r="G4" s="47" t="str">
        <f>GETPIVOTDATA("USD Value",'Total Sales by Country per Year'!$A$1,"Country","United Kingdom - GB","Year of Sale",$A4)</f>
        <v/>
      </c>
      <c r="H4" s="47">
        <f>GETPIVOTDATA("USD Value",'Total Sales by Country per Year'!$A$1,"Country","United States - US","Year of Sale",$A4)</f>
        <v>206149900</v>
      </c>
      <c r="I4" s="51">
        <f t="shared" ref="I4:I20" si="1">sum(B4:H4)</f>
        <v>206149900</v>
      </c>
    </row>
    <row r="5">
      <c r="A5" s="50">
        <v>2005.0</v>
      </c>
      <c r="B5" s="47">
        <f>B4+GETPIVOTDATA("USD Value",'Total Sales by Country per Year'!$A$1,"Country","Australia - AU","Year of Sale",$A5)</f>
        <v>0</v>
      </c>
      <c r="C5" s="47">
        <f>C4+GETPIVOTDATA("USD Value",'Total Sales by Country per Year'!$A$1,"Country","Canada - CA","Year of Sale",$A5)</f>
        <v>0</v>
      </c>
      <c r="D5" s="47">
        <f>D4+GETPIVOTDATA("USD Value",'Total Sales by Country per Year'!$A$1,"Country","Germany - DE","Year of Sale",$A5)</f>
        <v>0</v>
      </c>
      <c r="E5" s="47">
        <f>E4+GETPIVOTDATA("USD Value",'Total Sales by Country per Year'!$A$1,"Country","Netherlands - NL","Year of Sale",$A5)</f>
        <v>0</v>
      </c>
      <c r="F5" s="47">
        <f>F4+GETPIVOTDATA("USD Value",'Total Sales by Country per Year'!$A$1,"Country","New Zealand - NZ","Year of Sale",$A5)</f>
        <v>0</v>
      </c>
      <c r="G5" s="47">
        <f>G4+GETPIVOTDATA("USD Value",'Total Sales by Country per Year'!$A$1,"Country","United Kingdom - GB","Year of Sale",$A5)</f>
        <v>0</v>
      </c>
      <c r="H5" s="47">
        <f>H4+GETPIVOTDATA("USD Value",'Total Sales by Country per Year'!$A$1,"Country","United States - US","Year of Sale",$A5)</f>
        <v>211135200</v>
      </c>
      <c r="I5" s="51">
        <f t="shared" si="1"/>
        <v>211135200</v>
      </c>
    </row>
    <row r="6">
      <c r="A6" s="50">
        <v>2006.0</v>
      </c>
      <c r="B6" s="47">
        <f>B5+GETPIVOTDATA("USD Value",'Total Sales by Country per Year'!$A$1,"Country","Australia - AU","Year of Sale",$A6)</f>
        <v>0</v>
      </c>
      <c r="C6" s="47">
        <f>C5+GETPIVOTDATA("USD Value",'Total Sales by Country per Year'!$A$1,"Country","Canada - CA","Year of Sale",$A6)</f>
        <v>0</v>
      </c>
      <c r="D6" s="47">
        <f>D5+GETPIVOTDATA("USD Value",'Total Sales by Country per Year'!$A$1,"Country","Germany - DE","Year of Sale",$A6)</f>
        <v>0</v>
      </c>
      <c r="E6" s="47">
        <f>E5+GETPIVOTDATA("USD Value",'Total Sales by Country per Year'!$A$1,"Country","Netherlands - NL","Year of Sale",$A6)</f>
        <v>0</v>
      </c>
      <c r="F6" s="47">
        <f>F5+GETPIVOTDATA("USD Value",'Total Sales by Country per Year'!$A$1,"Country","New Zealand - NZ","Year of Sale",$A6)</f>
        <v>0</v>
      </c>
      <c r="G6" s="47">
        <f>G5+GETPIVOTDATA("USD Value",'Total Sales by Country per Year'!$A$1,"Country","United Kingdom - GB","Year of Sale",$A6)</f>
        <v>0</v>
      </c>
      <c r="H6" s="47">
        <f>H5+GETPIVOTDATA("USD Value",'Total Sales by Country per Year'!$A$1,"Country","United States - US","Year of Sale",$A6)</f>
        <v>228916939</v>
      </c>
      <c r="I6" s="51">
        <f t="shared" si="1"/>
        <v>228916939</v>
      </c>
    </row>
    <row r="7">
      <c r="A7" s="50">
        <v>2007.0</v>
      </c>
      <c r="B7" s="47">
        <f>B6+GETPIVOTDATA("USD Value",'Total Sales by Country per Year'!$A$1,"Country","Australia - AU","Year of Sale",$A7)</f>
        <v>576720.4854</v>
      </c>
      <c r="C7" s="47">
        <f>C6+GETPIVOTDATA("USD Value",'Total Sales by Country per Year'!$A$1,"Country","Canada - CA","Year of Sale",$A7)</f>
        <v>0</v>
      </c>
      <c r="D7" s="47">
        <f>D6+GETPIVOTDATA("USD Value",'Total Sales by Country per Year'!$A$1,"Country","Germany - DE","Year of Sale",$A7)</f>
        <v>0</v>
      </c>
      <c r="E7" s="47">
        <f>E6+GETPIVOTDATA("USD Value",'Total Sales by Country per Year'!$A$1,"Country","Netherlands - NL","Year of Sale",$A7)</f>
        <v>0</v>
      </c>
      <c r="F7" s="47">
        <f>F6+GETPIVOTDATA("USD Value",'Total Sales by Country per Year'!$A$1,"Country","New Zealand - NZ","Year of Sale",$A7)</f>
        <v>0</v>
      </c>
      <c r="G7" s="47">
        <f>G6+GETPIVOTDATA("USD Value",'Total Sales by Country per Year'!$A$1,"Country","United Kingdom - GB","Year of Sale",$A7)</f>
        <v>0</v>
      </c>
      <c r="H7" s="47">
        <f>H6+GETPIVOTDATA("USD Value",'Total Sales by Country per Year'!$A$1,"Country","United States - US","Year of Sale",$A7)</f>
        <v>263032439</v>
      </c>
      <c r="I7" s="51">
        <f t="shared" si="1"/>
        <v>263609159.5</v>
      </c>
    </row>
    <row r="8">
      <c r="A8" s="50">
        <v>2008.0</v>
      </c>
      <c r="B8" s="47">
        <f>B7+GETPIVOTDATA("USD Value",'Total Sales by Country per Year'!$A$1,"Country","Australia - AU","Year of Sale",$A8)</f>
        <v>576720.4854</v>
      </c>
      <c r="C8" s="47">
        <f>C7+GETPIVOTDATA("USD Value",'Total Sales by Country per Year'!$A$1,"Country","Canada - CA","Year of Sale",$A8)</f>
        <v>0</v>
      </c>
      <c r="D8" s="47">
        <f>D7+GETPIVOTDATA("USD Value",'Total Sales by Country per Year'!$A$1,"Country","Germany - DE","Year of Sale",$A8)</f>
        <v>0</v>
      </c>
      <c r="E8" s="47">
        <f>E7+GETPIVOTDATA("USD Value",'Total Sales by Country per Year'!$A$1,"Country","Netherlands - NL","Year of Sale",$A8)</f>
        <v>0</v>
      </c>
      <c r="F8" s="47">
        <f>F7+GETPIVOTDATA("USD Value",'Total Sales by Country per Year'!$A$1,"Country","New Zealand - NZ","Year of Sale",$A8)</f>
        <v>0</v>
      </c>
      <c r="G8" s="47">
        <f>G7+GETPIVOTDATA("USD Value",'Total Sales by Country per Year'!$A$1,"Country","United Kingdom - GB","Year of Sale",$A8)</f>
        <v>0</v>
      </c>
      <c r="H8" s="47">
        <f>H7+GETPIVOTDATA("USD Value",'Total Sales by Country per Year'!$A$1,"Country","United States - US","Year of Sale",$A8)</f>
        <v>266766939</v>
      </c>
      <c r="I8" s="51">
        <f t="shared" si="1"/>
        <v>267343659.5</v>
      </c>
    </row>
    <row r="9">
      <c r="A9" s="50">
        <v>2009.0</v>
      </c>
      <c r="B9" s="47">
        <f>B8+GETPIVOTDATA("USD Value",'Total Sales by Country per Year'!$A$1,"Country","Australia - AU","Year of Sale",$A9)</f>
        <v>1785180.585</v>
      </c>
      <c r="C9" s="47">
        <f>C8+GETPIVOTDATA("USD Value",'Total Sales by Country per Year'!$A$1,"Country","Canada - CA","Year of Sale",$A9)</f>
        <v>0</v>
      </c>
      <c r="D9" s="47">
        <f>D8+GETPIVOTDATA("USD Value",'Total Sales by Country per Year'!$A$1,"Country","Germany - DE","Year of Sale",$A9)</f>
        <v>0</v>
      </c>
      <c r="E9" s="47">
        <f>E8+GETPIVOTDATA("USD Value",'Total Sales by Country per Year'!$A$1,"Country","Netherlands - NL","Year of Sale",$A9)</f>
        <v>0</v>
      </c>
      <c r="F9" s="47">
        <f>F8+GETPIVOTDATA("USD Value",'Total Sales by Country per Year'!$A$1,"Country","New Zealand - NZ","Year of Sale",$A9)</f>
        <v>0</v>
      </c>
      <c r="G9" s="47">
        <f>G8+GETPIVOTDATA("USD Value",'Total Sales by Country per Year'!$A$1,"Country","United Kingdom - GB","Year of Sale",$A9)</f>
        <v>0</v>
      </c>
      <c r="H9" s="47">
        <f>H8+GETPIVOTDATA("USD Value",'Total Sales by Country per Year'!$A$1,"Country","United States - US","Year of Sale",$A9)</f>
        <v>269815139</v>
      </c>
      <c r="I9" s="51">
        <f t="shared" si="1"/>
        <v>271600319.6</v>
      </c>
    </row>
    <row r="10">
      <c r="A10" s="50">
        <v>2010.0</v>
      </c>
      <c r="B10" s="47">
        <f>B9+GETPIVOTDATA("USD Value",'Total Sales by Country per Year'!$A$1,"Country","Australia - AU","Year of Sale",$A10)</f>
        <v>1785180.585</v>
      </c>
      <c r="C10" s="47">
        <f>C9+GETPIVOTDATA("USD Value",'Total Sales by Country per Year'!$A$1,"Country","Canada - CA","Year of Sale",$A10)</f>
        <v>0</v>
      </c>
      <c r="D10" s="47">
        <f>D9+GETPIVOTDATA("USD Value",'Total Sales by Country per Year'!$A$1,"Country","Germany - DE","Year of Sale",$A10)</f>
        <v>0</v>
      </c>
      <c r="E10" s="47">
        <f>E9+GETPIVOTDATA("USD Value",'Total Sales by Country per Year'!$A$1,"Country","Netherlands - NL","Year of Sale",$A10)</f>
        <v>0</v>
      </c>
      <c r="F10" s="47">
        <f>F9+GETPIVOTDATA("USD Value",'Total Sales by Country per Year'!$A$1,"Country","New Zealand - NZ","Year of Sale",$A10)</f>
        <v>0</v>
      </c>
      <c r="G10" s="47">
        <f>G9+GETPIVOTDATA("USD Value",'Total Sales by Country per Year'!$A$1,"Country","United Kingdom - GB","Year of Sale",$A10)</f>
        <v>0</v>
      </c>
      <c r="H10" s="47">
        <f>H9+GETPIVOTDATA("USD Value",'Total Sales by Country per Year'!$A$1,"Country","United States - US","Year of Sale",$A10)</f>
        <v>276834598</v>
      </c>
      <c r="I10" s="51">
        <f t="shared" si="1"/>
        <v>278619778.6</v>
      </c>
    </row>
    <row r="11">
      <c r="A11" s="50">
        <v>2011.0</v>
      </c>
      <c r="B11" s="47">
        <f>B10+GETPIVOTDATA("USD Value",'Total Sales by Country per Year'!$A$1,"Country","Australia - AU","Year of Sale",$A11)</f>
        <v>2228381.588</v>
      </c>
      <c r="C11" s="47">
        <f>C10+GETPIVOTDATA("USD Value",'Total Sales by Country per Year'!$A$1,"Country","Canada - CA","Year of Sale",$A11)</f>
        <v>0</v>
      </c>
      <c r="D11" s="47">
        <f>D10+GETPIVOTDATA("USD Value",'Total Sales by Country per Year'!$A$1,"Country","Germany - DE","Year of Sale",$A11)</f>
        <v>0</v>
      </c>
      <c r="E11" s="47">
        <f>E10+GETPIVOTDATA("USD Value",'Total Sales by Country per Year'!$A$1,"Country","Netherlands - NL","Year of Sale",$A11)</f>
        <v>0</v>
      </c>
      <c r="F11" s="47">
        <f>F10+GETPIVOTDATA("USD Value",'Total Sales by Country per Year'!$A$1,"Country","New Zealand - NZ","Year of Sale",$A11)</f>
        <v>0</v>
      </c>
      <c r="G11" s="47">
        <f>G10+GETPIVOTDATA("USD Value",'Total Sales by Country per Year'!$A$1,"Country","United Kingdom - GB","Year of Sale",$A11)</f>
        <v>0</v>
      </c>
      <c r="H11" s="47">
        <f>H10+GETPIVOTDATA("USD Value",'Total Sales by Country per Year'!$A$1,"Country","United States - US","Year of Sale",$A11)</f>
        <v>291025248</v>
      </c>
      <c r="I11" s="51">
        <f t="shared" si="1"/>
        <v>293253629.6</v>
      </c>
    </row>
    <row r="12">
      <c r="A12" s="50">
        <v>2012.0</v>
      </c>
      <c r="B12" s="52">
        <f>B11+GETPIVOTDATA("USD Value",'Total Sales by Country per Year'!$A$1,"Country","Australia - AU","Year of Sale",$A12)</f>
        <v>3468147.589</v>
      </c>
      <c r="C12" s="47">
        <f>C11+GETPIVOTDATA("USD Value",'Total Sales by Country per Year'!$A$1,"Country","Canada - CA","Year of Sale",$A12)</f>
        <v>0</v>
      </c>
      <c r="D12" s="47">
        <f>D11+GETPIVOTDATA("USD Value",'Total Sales by Country per Year'!$A$1,"Country","Germany - DE","Year of Sale",$A12)</f>
        <v>0</v>
      </c>
      <c r="E12" s="47">
        <f>E11+GETPIVOTDATA("USD Value",'Total Sales by Country per Year'!$A$1,"Country","Netherlands - NL","Year of Sale",$A12)</f>
        <v>0</v>
      </c>
      <c r="F12" s="47">
        <f>F11+GETPIVOTDATA("USD Value",'Total Sales by Country per Year'!$A$1,"Country","New Zealand - NZ","Year of Sale",$A12)</f>
        <v>0</v>
      </c>
      <c r="G12" s="47">
        <f>G11+GETPIVOTDATA("USD Value",'Total Sales by Country per Year'!$A$1,"Country","United Kingdom - GB","Year of Sale",$A12)</f>
        <v>0</v>
      </c>
      <c r="H12" s="47">
        <f>H11+GETPIVOTDATA("USD Value",'Total Sales by Country per Year'!$A$1,"Country","United States - US","Year of Sale",$A12)</f>
        <v>394970048</v>
      </c>
      <c r="I12" s="51">
        <f t="shared" si="1"/>
        <v>398438195.6</v>
      </c>
    </row>
    <row r="13">
      <c r="A13" s="50">
        <v>2013.0</v>
      </c>
      <c r="B13" s="47">
        <f>B12+GETPIVOTDATA("USD Value",'Total Sales by Country per Year'!$A$1,"Country","Australia - AU","Year of Sale",$A13)</f>
        <v>3468147.589</v>
      </c>
      <c r="C13" s="47">
        <f>C12+GETPIVOTDATA("USD Value",'Total Sales by Country per Year'!$A$1,"Country","Canada - CA","Year of Sale",$A13)</f>
        <v>0</v>
      </c>
      <c r="D13" s="47">
        <f>D12+GETPIVOTDATA("USD Value",'Total Sales by Country per Year'!$A$1,"Country","Germany - DE","Year of Sale",$A13)</f>
        <v>0</v>
      </c>
      <c r="E13" s="47">
        <f>E12+GETPIVOTDATA("USD Value",'Total Sales by Country per Year'!$A$1,"Country","Netherlands - NL","Year of Sale",$A13)</f>
        <v>0</v>
      </c>
      <c r="F13" s="47">
        <f>F12+GETPIVOTDATA("USD Value",'Total Sales by Country per Year'!$A$1,"Country","New Zealand - NZ","Year of Sale",$A13)</f>
        <v>11453396.52</v>
      </c>
      <c r="G13" s="47">
        <f>G12+GETPIVOTDATA("USD Value",'Total Sales by Country per Year'!$A$1,"Country","United Kingdom - GB","Year of Sale",$A13)</f>
        <v>8070617.907</v>
      </c>
      <c r="H13" s="47">
        <f>H12+GETPIVOTDATA("USD Value",'Total Sales by Country per Year'!$A$1,"Country","United States - US","Year of Sale",$A13)</f>
        <v>808105612</v>
      </c>
      <c r="I13" s="51">
        <f t="shared" si="1"/>
        <v>831097774</v>
      </c>
    </row>
    <row r="14">
      <c r="A14" s="50">
        <v>2014.0</v>
      </c>
      <c r="B14" s="47">
        <f>B13+GETPIVOTDATA("USD Value",'Total Sales by Country per Year'!$A$1,"Country","Australia - AU","Year of Sale",$A14)</f>
        <v>3468147.589</v>
      </c>
      <c r="C14" s="47">
        <f>C13+GETPIVOTDATA("USD Value",'Total Sales by Country per Year'!$A$1,"Country","Canada - CA","Year of Sale",$A14)</f>
        <v>0</v>
      </c>
      <c r="D14" s="47">
        <f>D13+GETPIVOTDATA("USD Value",'Total Sales by Country per Year'!$A$1,"Country","Germany - DE","Year of Sale",$A14)</f>
        <v>0</v>
      </c>
      <c r="E14" s="47">
        <f>E13+GETPIVOTDATA("USD Value",'Total Sales by Country per Year'!$A$1,"Country","Netherlands - NL","Year of Sale",$A14)</f>
        <v>0</v>
      </c>
      <c r="F14" s="47">
        <f>F13+GETPIVOTDATA("USD Value",'Total Sales by Country per Year'!$A$1,"Country","New Zealand - NZ","Year of Sale",$A14)</f>
        <v>11453396.52</v>
      </c>
      <c r="G14" s="52">
        <f>G13+GETPIVOTDATA("USD Value",'Total Sales by Country per Year'!$A$1,"Country","United Kingdom - GB","Year of Sale",$A14)</f>
        <v>8070617.907</v>
      </c>
      <c r="H14" s="47">
        <f>H13+GETPIVOTDATA("USD Value",'Total Sales by Country per Year'!$A$1,"Country","United States - US","Year of Sale",$A14)</f>
        <v>817399912</v>
      </c>
      <c r="I14" s="51">
        <f t="shared" si="1"/>
        <v>840392074</v>
      </c>
    </row>
    <row r="15">
      <c r="A15" s="50">
        <v>2015.0</v>
      </c>
      <c r="B15" s="47">
        <f>B14+GETPIVOTDATA("USD Value",'Total Sales by Country per Year'!$A$1,"Country","Australia - AU","Year of Sale",$A15)</f>
        <v>5178682.157</v>
      </c>
      <c r="C15" s="47">
        <f>C14+GETPIVOTDATA("USD Value",'Total Sales by Country per Year'!$A$1,"Country","Canada - CA","Year of Sale",$A15)</f>
        <v>0</v>
      </c>
      <c r="D15" s="47">
        <f>D14+GETPIVOTDATA("USD Value",'Total Sales by Country per Year'!$A$1,"Country","Germany - DE","Year of Sale",$A15)</f>
        <v>184674.1668</v>
      </c>
      <c r="E15" s="47">
        <f>E14+GETPIVOTDATA("USD Value",'Total Sales by Country per Year'!$A$1,"Country","Netherlands - NL","Year of Sale",$A15)</f>
        <v>0</v>
      </c>
      <c r="F15" s="47">
        <f>F14+GETPIVOTDATA("USD Value",'Total Sales by Country per Year'!$A$1,"Country","New Zealand - NZ","Year of Sale",$A15)</f>
        <v>11453396.52</v>
      </c>
      <c r="G15" s="47">
        <f>G14+GETPIVOTDATA("USD Value",'Total Sales by Country per Year'!$A$1,"Country","United Kingdom - GB","Year of Sale",$A15)</f>
        <v>8206940.469</v>
      </c>
      <c r="H15" s="47">
        <f>H14+GETPIVOTDATA("USD Value",'Total Sales by Country per Year'!$A$1,"Country","United States - US","Year of Sale",$A15)</f>
        <v>819216724</v>
      </c>
      <c r="I15" s="51">
        <f t="shared" si="1"/>
        <v>844240417.3</v>
      </c>
    </row>
    <row r="16">
      <c r="A16" s="50">
        <v>2016.0</v>
      </c>
      <c r="B16" s="47">
        <f>B15+GETPIVOTDATA("USD Value",'Total Sales by Country per Year'!$A$1,"Country","Australia - AU","Year of Sale",$A16)</f>
        <v>8759425.982</v>
      </c>
      <c r="C16" s="47">
        <f>C15+GETPIVOTDATA("USD Value",'Total Sales by Country per Year'!$A$1,"Country","Canada - CA","Year of Sale",$A16)</f>
        <v>0</v>
      </c>
      <c r="D16" s="52">
        <f>D15+GETPIVOTDATA("USD Value",'Total Sales by Country per Year'!$A$1,"Country","Germany - DE","Year of Sale",$A16)</f>
        <v>184674.1668</v>
      </c>
      <c r="E16" s="47">
        <f>E15+GETPIVOTDATA("USD Value",'Total Sales by Country per Year'!$A$1,"Country","Netherlands - NL","Year of Sale",$A16)</f>
        <v>0</v>
      </c>
      <c r="F16" s="47">
        <f>F15+GETPIVOTDATA("USD Value",'Total Sales by Country per Year'!$A$1,"Country","New Zealand - NZ","Year of Sale",$A16)</f>
        <v>11453396.52</v>
      </c>
      <c r="G16" s="47">
        <f>G15+GETPIVOTDATA("USD Value",'Total Sales by Country per Year'!$A$1,"Country","United Kingdom - GB","Year of Sale",$A16)</f>
        <v>8479015.372</v>
      </c>
      <c r="H16" s="47">
        <f>H15+GETPIVOTDATA("USD Value",'Total Sales by Country per Year'!$A$1,"Country","United States - US","Year of Sale",$A16)</f>
        <v>1679042724</v>
      </c>
      <c r="I16" s="51">
        <f t="shared" si="1"/>
        <v>1707919236</v>
      </c>
    </row>
    <row r="17">
      <c r="A17" s="50">
        <v>2017.0</v>
      </c>
      <c r="B17" s="47">
        <f>B16+GETPIVOTDATA("USD Value",'Total Sales by Country per Year'!$A$1,"Country","Australia - AU","Year of Sale",$A17)</f>
        <v>13226025.03</v>
      </c>
      <c r="C17" s="52">
        <f>C16+GETPIVOTDATA("USD Value",'Total Sales by Country per Year'!$A$1,"Country","Canada - CA","Year of Sale",$A17)</f>
        <v>0</v>
      </c>
      <c r="D17" s="47">
        <f>D16+GETPIVOTDATA("USD Value",'Total Sales by Country per Year'!$A$1,"Country","Germany - DE","Year of Sale",$A17)</f>
        <v>829849.1815</v>
      </c>
      <c r="E17" s="47">
        <f>E16+GETPIVOTDATA("USD Value",'Total Sales by Country per Year'!$A$1,"Country","Netherlands - NL","Year of Sale",$A17)</f>
        <v>0</v>
      </c>
      <c r="F17" s="47">
        <f>F16+GETPIVOTDATA("USD Value",'Total Sales by Country per Year'!$A$1,"Country","New Zealand - NZ","Year of Sale",$A17)</f>
        <v>11742069.74</v>
      </c>
      <c r="G17" s="47">
        <f>G16+GETPIVOTDATA("USD Value",'Total Sales by Country per Year'!$A$1,"Country","United Kingdom - GB","Year of Sale",$A17)</f>
        <v>55213312.08</v>
      </c>
      <c r="H17" s="47">
        <f>H16+GETPIVOTDATA("USD Value",'Total Sales by Country per Year'!$A$1,"Country","United States - US","Year of Sale",$A17)</f>
        <v>2160338604</v>
      </c>
      <c r="I17" s="51">
        <f t="shared" si="1"/>
        <v>2241349860</v>
      </c>
    </row>
    <row r="18">
      <c r="A18" s="50">
        <v>2018.0</v>
      </c>
      <c r="B18" s="47">
        <f>B17+GETPIVOTDATA("USD Value",'Total Sales by Country per Year'!$A$1,"Country","Australia - AU","Year of Sale",$A18)</f>
        <v>13467178</v>
      </c>
      <c r="C18" s="47">
        <f>C17+GETPIVOTDATA("USD Value",'Total Sales by Country per Year'!$A$1,"Country","Canada - CA","Year of Sale",$A18)</f>
        <v>358274.4885</v>
      </c>
      <c r="D18" s="47">
        <f>D17+GETPIVOTDATA("USD Value",'Total Sales by Country per Year'!$A$1,"Country","Germany - DE","Year of Sale",$A18)</f>
        <v>829849.1815</v>
      </c>
      <c r="E18" s="47">
        <f>E17+GETPIVOTDATA("USD Value",'Total Sales by Country per Year'!$A$1,"Country","Netherlands - NL","Year of Sale",$A18)</f>
        <v>0</v>
      </c>
      <c r="F18" s="52">
        <f>F17+GETPIVOTDATA("USD Value",'Total Sales by Country per Year'!$A$1,"Country","New Zealand - NZ","Year of Sale",$A18)</f>
        <v>12652198.06</v>
      </c>
      <c r="G18" s="47">
        <f>G17+GETPIVOTDATA("USD Value",'Total Sales by Country per Year'!$A$1,"Country","United Kingdom - GB","Year of Sale",$A18)</f>
        <v>82076841.44</v>
      </c>
      <c r="H18" s="47">
        <f>H17+GETPIVOTDATA("USD Value",'Total Sales by Country per Year'!$A$1,"Country","United States - US","Year of Sale",$A18)</f>
        <v>2281698900</v>
      </c>
      <c r="I18" s="51">
        <f t="shared" si="1"/>
        <v>2391083241</v>
      </c>
    </row>
    <row r="19">
      <c r="A19" s="50">
        <v>2019.0</v>
      </c>
      <c r="B19" s="47">
        <f>B18+GETPIVOTDATA("USD Value",'Total Sales by Country per Year'!$A$1,"Country","Australia - AU","Year of Sale",$A19)</f>
        <v>19923318.8</v>
      </c>
      <c r="C19" s="47">
        <f>C18+GETPIVOTDATA("USD Value",'Total Sales by Country per Year'!$A$1,"Country","Canada - CA","Year of Sale",$A19)</f>
        <v>993443.2968</v>
      </c>
      <c r="D19" s="47">
        <f>D18+GETPIVOTDATA("USD Value",'Total Sales by Country per Year'!$A$1,"Country","Germany - DE","Year of Sale",$A19)</f>
        <v>4821926.11</v>
      </c>
      <c r="E19" s="52">
        <f>E18+GETPIVOTDATA("USD Value",'Total Sales by Country per Year'!$A$1,"Country","Netherlands - NL","Year of Sale",$A19)</f>
        <v>381041.2093</v>
      </c>
      <c r="F19" s="47">
        <f>F18+GETPIVOTDATA("USD Value",'Total Sales by Country per Year'!$A$1,"Country","New Zealand - NZ","Year of Sale",$A19)</f>
        <v>13738858.9</v>
      </c>
      <c r="G19" s="47">
        <f>G18+GETPIVOTDATA("USD Value",'Total Sales by Country per Year'!$A$1,"Country","United Kingdom - GB","Year of Sale",$A19)</f>
        <v>104003881.8</v>
      </c>
      <c r="H19" s="47">
        <f>H18+GETPIVOTDATA("USD Value",'Total Sales by Country per Year'!$A$1,"Country","United States - US","Year of Sale",$A19)</f>
        <v>2316984172</v>
      </c>
      <c r="I19" s="51">
        <f t="shared" si="1"/>
        <v>2460846642</v>
      </c>
    </row>
    <row r="20">
      <c r="A20" s="50">
        <v>2020.0</v>
      </c>
      <c r="B20" s="47">
        <f>B19+GETPIVOTDATA("USD Value",'Total Sales by Country per Year'!$A$1,"Country","Australia - AU","Year of Sale",$A20)</f>
        <v>23636926.86</v>
      </c>
      <c r="C20" s="47">
        <f>C19+GETPIVOTDATA("USD Value",'Total Sales by Country per Year'!$A$1,"Country","Canada - CA","Year of Sale",$A20)</f>
        <v>2120803.302</v>
      </c>
      <c r="D20" s="47">
        <f>D19+GETPIVOTDATA("USD Value",'Total Sales by Country per Year'!$A$1,"Country","Germany - DE","Year of Sale",$A20)</f>
        <v>6276637.757</v>
      </c>
      <c r="E20" s="47">
        <f>E19+GETPIVOTDATA("USD Value",'Total Sales by Country per Year'!$A$1,"Country","Netherlands - NL","Year of Sale",$A20)</f>
        <v>381041.2093</v>
      </c>
      <c r="F20" s="47">
        <f>F19+GETPIVOTDATA("USD Value",'Total Sales by Country per Year'!$A$1,"Country","New Zealand - NZ","Year of Sale",$A20)</f>
        <v>13738858.9</v>
      </c>
      <c r="G20" s="47">
        <f>G19+GETPIVOTDATA("USD Value",'Total Sales by Country per Year'!$A$1,"Country","United Kingdom - GB","Year of Sale",$A20)</f>
        <v>150763896.8</v>
      </c>
      <c r="H20" s="52">
        <f>H19+GETPIVOTDATA("USD Value",'Total Sales by Country per Year'!$A$1,"Country","United States - US","Year of Sale",$A20)</f>
        <v>2333184272</v>
      </c>
      <c r="I20" s="51">
        <f t="shared" si="1"/>
        <v>2530102437</v>
      </c>
    </row>
    <row r="21">
      <c r="A21" s="5" t="s">
        <v>3668</v>
      </c>
      <c r="B21" s="51">
        <f t="shared" ref="B21:I21" si="2">B20+B22</f>
        <v>23856328.97</v>
      </c>
      <c r="C21" s="51">
        <f t="shared" si="2"/>
        <v>4617782.868</v>
      </c>
      <c r="D21" s="51">
        <f t="shared" si="2"/>
        <v>9219967.503</v>
      </c>
      <c r="E21" s="51">
        <f t="shared" si="2"/>
        <v>381041.2093</v>
      </c>
      <c r="F21" s="51">
        <f t="shared" si="2"/>
        <v>13738858.9</v>
      </c>
      <c r="G21" s="51">
        <f t="shared" si="2"/>
        <v>155061829.8</v>
      </c>
      <c r="H21" s="51">
        <f t="shared" si="2"/>
        <v>2350595732</v>
      </c>
      <c r="I21" s="51">
        <f t="shared" si="2"/>
        <v>2557471541</v>
      </c>
    </row>
    <row r="22">
      <c r="A22" s="53" t="s">
        <v>2437</v>
      </c>
      <c r="B22" s="54">
        <f>GETPIVOTDATA("USD Value",'Total Sales by Country per Year'!$A$1,"Country","Australia - AU","Year of Sale",$A22)</f>
        <v>219402.1073</v>
      </c>
      <c r="C22" s="54">
        <f>GETPIVOTDATA("USD Value",'Total Sales by Country per Year'!$A$1,"Country","Canada - CA","Year of Sale",$A22)</f>
        <v>2496979.566</v>
      </c>
      <c r="D22" s="54">
        <f>GETPIVOTDATA("USD Value",'Total Sales by Country per Year'!$A$1,"Country","Germany - DE","Year of Sale",$A22)</f>
        <v>2943329.746</v>
      </c>
      <c r="E22" s="54">
        <f>GETPIVOTDATA("USD Value",'Total Sales by Country per Year'!$A$1,"Country","Netherlands - NL","Year of Sale",$A22)</f>
        <v>0</v>
      </c>
      <c r="F22" s="54" t="str">
        <f>GETPIVOTDATA("USD Value",'Total Sales by Country per Year'!$A$1,"Country","New Zealand - NZ","Year of Sale",$A22)</f>
        <v/>
      </c>
      <c r="G22" s="54">
        <f>GETPIVOTDATA("USD Value",'Total Sales by Country per Year'!$A$1,"Country","United Kingdom - GB","Year of Sale",$A22)</f>
        <v>4297932.969</v>
      </c>
      <c r="H22" s="54">
        <f>GETPIVOTDATA("USD Value",'Total Sales by Country per Year'!$A$1,"Country","United States - US","Year of Sale",$A22)</f>
        <v>17411460</v>
      </c>
      <c r="I22" s="55">
        <f>sum(B22:H22)</f>
        <v>27369104.39</v>
      </c>
    </row>
    <row r="24">
      <c r="A24" s="56" t="s">
        <v>3669</v>
      </c>
      <c r="B24" s="57" t="s">
        <v>3670</v>
      </c>
      <c r="C24" s="57" t="s">
        <v>3671</v>
      </c>
      <c r="D24" s="57" t="s">
        <v>3672</v>
      </c>
      <c r="E24" s="57" t="s">
        <v>3673</v>
      </c>
      <c r="F24" s="57" t="s">
        <v>3674</v>
      </c>
      <c r="G24" s="57" t="s">
        <v>3675</v>
      </c>
      <c r="H24" s="57" t="s">
        <v>3676</v>
      </c>
    </row>
    <row r="27">
      <c r="A27" s="49" t="s">
        <v>3677</v>
      </c>
    </row>
    <row r="28">
      <c r="A28" s="5" t="s">
        <v>3660</v>
      </c>
      <c r="B28" s="1" t="s">
        <v>3678</v>
      </c>
      <c r="C28" s="3" t="s">
        <v>3679</v>
      </c>
    </row>
    <row r="29">
      <c r="A29" s="50">
        <v>2004.0</v>
      </c>
      <c r="B29" s="47">
        <f>GETPIVOTDATA("USD Value",'Total Sales by Country per Year'!$A$1,"Year of Sale",A29)</f>
        <v>206149900</v>
      </c>
      <c r="C29" s="45" t="s">
        <v>3680</v>
      </c>
    </row>
    <row r="30">
      <c r="A30" s="50">
        <v>2005.0</v>
      </c>
      <c r="B30" s="47">
        <f>B29+GETPIVOTDATA("USD Value",'Total Sales by Country per Year'!$A$1,"Year of Sale",A30)</f>
        <v>211135200</v>
      </c>
    </row>
    <row r="31">
      <c r="A31" s="50">
        <v>2006.0</v>
      </c>
      <c r="B31" s="47">
        <f>B30+GETPIVOTDATA("USD Value",'Total Sales by Country per Year'!$A$1,"Year of Sale",A31)</f>
        <v>228916939</v>
      </c>
    </row>
    <row r="32">
      <c r="A32" s="50">
        <v>2007.0</v>
      </c>
      <c r="B32" s="47">
        <f>B31+GETPIVOTDATA("USD Value",'Total Sales by Country per Year'!$A$1,"Year of Sale",A32)</f>
        <v>263609159.5</v>
      </c>
    </row>
    <row r="33">
      <c r="A33" s="50">
        <v>2008.0</v>
      </c>
      <c r="B33" s="47">
        <f>B32+GETPIVOTDATA("USD Value",'Total Sales by Country per Year'!$A$1,"Year of Sale",A33)</f>
        <v>267343659.5</v>
      </c>
    </row>
    <row r="34">
      <c r="A34" s="50">
        <v>2009.0</v>
      </c>
      <c r="B34" s="47">
        <f>B33+GETPIVOTDATA("USD Value",'Total Sales by Country per Year'!$A$1,"Year of Sale",A34)</f>
        <v>271600319.6</v>
      </c>
    </row>
    <row r="35">
      <c r="A35" s="50">
        <v>2010.0</v>
      </c>
      <c r="B35" s="47">
        <f>B34+GETPIVOTDATA("USD Value",'Total Sales by Country per Year'!$A$1,"Year of Sale",A35)</f>
        <v>278619778.6</v>
      </c>
    </row>
    <row r="36">
      <c r="A36" s="50">
        <v>2011.0</v>
      </c>
      <c r="B36" s="47">
        <f>B35+GETPIVOTDATA("USD Value",'Total Sales by Country per Year'!$A$1,"Year of Sale",A36)</f>
        <v>299618281.7</v>
      </c>
    </row>
    <row r="37">
      <c r="A37" s="50">
        <v>2012.0</v>
      </c>
      <c r="B37" s="47">
        <f>B36+GETPIVOTDATA("USD Value",'Total Sales by Country per Year'!$A$1,"Year of Sale",A37)</f>
        <v>410102967</v>
      </c>
      <c r="C37" s="45" t="s">
        <v>3681</v>
      </c>
    </row>
    <row r="38">
      <c r="A38" s="50">
        <v>2013.0</v>
      </c>
      <c r="B38" s="47">
        <f>B37+GETPIVOTDATA("USD Value",'Total Sales by Country per Year'!$A$1,"Year of Sale",A38)</f>
        <v>842762545.4</v>
      </c>
    </row>
    <row r="39">
      <c r="A39" s="50">
        <v>2014.0</v>
      </c>
      <c r="B39" s="47">
        <f>B38+GETPIVOTDATA("USD Value",'Total Sales by Country per Year'!$A$1,"Year of Sale",A39)</f>
        <v>852056845.4</v>
      </c>
      <c r="C39" s="45" t="s">
        <v>3682</v>
      </c>
    </row>
    <row r="40">
      <c r="A40" s="50">
        <v>2015.0</v>
      </c>
      <c r="B40" s="47">
        <f>B39+GETPIVOTDATA("USD Value",'Total Sales by Country per Year'!$A$1,"Year of Sale",A40)</f>
        <v>922992527.4</v>
      </c>
      <c r="J40" s="48"/>
    </row>
    <row r="41">
      <c r="A41" s="50">
        <v>2016.0</v>
      </c>
      <c r="B41" s="47">
        <f>B40+GETPIVOTDATA("USD Value",'Total Sales by Country per Year'!$A$1,"Year of Sale",A41)</f>
        <v>1786748966</v>
      </c>
      <c r="C41" s="45" t="s">
        <v>3683</v>
      </c>
    </row>
    <row r="42">
      <c r="A42" s="50">
        <v>2017.0</v>
      </c>
      <c r="B42" s="47">
        <f>B41+GETPIVOTDATA("USD Value",'Total Sales by Country per Year'!$A$1,"Year of Sale",A42)</f>
        <v>2323831491</v>
      </c>
      <c r="C42" s="45" t="s">
        <v>3684</v>
      </c>
    </row>
    <row r="43">
      <c r="A43" s="50">
        <v>2018.0</v>
      </c>
      <c r="B43" s="47">
        <f>B42+GETPIVOTDATA("USD Value",'Total Sales by Country per Year'!$A$1,"Year of Sale",A43)</f>
        <v>2479473959</v>
      </c>
      <c r="C43" s="45" t="s">
        <v>3685</v>
      </c>
    </row>
    <row r="44">
      <c r="A44" s="50">
        <v>2019.0</v>
      </c>
      <c r="B44" s="47">
        <f>B43+GETPIVOTDATA("USD Value",'Total Sales by Country per Year'!$A$1,"Year of Sale",A44)</f>
        <v>2553494120</v>
      </c>
      <c r="C44" s="45" t="s">
        <v>3686</v>
      </c>
    </row>
    <row r="45">
      <c r="A45" s="50">
        <v>2020.0</v>
      </c>
      <c r="B45" s="47">
        <f>B44+GETPIVOTDATA("USD Value",'Total Sales by Country per Year'!$A$1,"Year of Sale",A45)</f>
        <v>2650064563</v>
      </c>
      <c r="C45" s="45" t="s">
        <v>3687</v>
      </c>
    </row>
    <row r="46">
      <c r="A46" s="5" t="s">
        <v>3668</v>
      </c>
      <c r="B46" s="51">
        <f>B45+B47</f>
        <v>2697386119</v>
      </c>
    </row>
    <row r="47">
      <c r="A47" s="53" t="s">
        <v>2437</v>
      </c>
      <c r="B47" s="58">
        <f>GETPIVOTDATA("USD Value",'Total Sales by Country per Year'!$A$1,"Year of Sale",A47)</f>
        <v>47321555.9</v>
      </c>
    </row>
    <row r="107">
      <c r="A107" s="49" t="s">
        <v>3688</v>
      </c>
    </row>
    <row r="108">
      <c r="A108" s="5" t="s">
        <v>3660</v>
      </c>
      <c r="B108" s="1" t="s">
        <v>3689</v>
      </c>
      <c r="C108" s="1" t="s">
        <v>3690</v>
      </c>
      <c r="D108" s="1" t="s">
        <v>3691</v>
      </c>
      <c r="E108" s="1" t="s">
        <v>3692</v>
      </c>
      <c r="F108" s="1" t="s">
        <v>3693</v>
      </c>
      <c r="G108" s="1" t="s">
        <v>3694</v>
      </c>
      <c r="H108" s="1" t="s">
        <v>3695</v>
      </c>
      <c r="I108" s="1" t="s">
        <v>3658</v>
      </c>
    </row>
    <row r="109">
      <c r="A109" s="50">
        <v>2004.0</v>
      </c>
      <c r="B109" s="47" t="str">
        <f>GETPIVOTDATA("USD Value",'Total Sales by Country per Year'!$A$1,"Country","Australia - AU","Year of Sale",$A109)</f>
        <v/>
      </c>
      <c r="C109" s="47" t="str">
        <f>GETPIVOTDATA("USD Value",'Total Sales by Country per Year'!$A$1,"Country","Canada - CA","Year of Sale",$A109)</f>
        <v/>
      </c>
      <c r="D109" s="47" t="str">
        <f>GETPIVOTDATA("USD Value",'Total Sales by Country per Year'!$A$1,"Country","Germany - DE","Year of Sale",$A109)</f>
        <v/>
      </c>
      <c r="E109" s="47" t="str">
        <f>GETPIVOTDATA("USD Value",'Total Sales by Country per Year'!$A$1,"Country","Netherlands - NL","Year of Sale",$A109)</f>
        <v/>
      </c>
      <c r="F109" s="47" t="str">
        <f>GETPIVOTDATA("USD Value",'Total Sales by Country per Year'!$A$1,"Country","New Zealand - NZ","Year of Sale",$A109)</f>
        <v/>
      </c>
      <c r="G109" s="47" t="str">
        <f>GETPIVOTDATA("USD Value",'Total Sales by Country per Year'!$A$1,"Country","United Kingdom - GB","Year of Sale",$A109)</f>
        <v/>
      </c>
      <c r="H109" s="47">
        <f>GETPIVOTDATA("USD Value",'Total Sales by Country per Year'!$A$1,"Country","United States - US","Year of Sale",$A109)</f>
        <v>206149900</v>
      </c>
      <c r="I109" s="51">
        <f t="shared" ref="I109:I126" si="3">sum(B109:H109)</f>
        <v>206149900</v>
      </c>
    </row>
    <row r="110">
      <c r="A110" s="50">
        <v>2005.0</v>
      </c>
      <c r="B110" s="47" t="str">
        <f>GETPIVOTDATA("USD Value",'Total Sales by Country per Year'!$A$1,"Country","Australia - AU","Year of Sale",$A110)</f>
        <v/>
      </c>
      <c r="C110" s="47" t="str">
        <f>GETPIVOTDATA("USD Value",'Total Sales by Country per Year'!$A$1,"Country","Canada - CA","Year of Sale",$A110)</f>
        <v/>
      </c>
      <c r="D110" s="47" t="str">
        <f>GETPIVOTDATA("USD Value",'Total Sales by Country per Year'!$A$1,"Country","Germany - DE","Year of Sale",$A110)</f>
        <v/>
      </c>
      <c r="E110" s="47" t="str">
        <f>GETPIVOTDATA("USD Value",'Total Sales by Country per Year'!$A$1,"Country","Netherlands - NL","Year of Sale",$A110)</f>
        <v/>
      </c>
      <c r="F110" s="47" t="str">
        <f>GETPIVOTDATA("USD Value",'Total Sales by Country per Year'!$A$1,"Country","New Zealand - NZ","Year of Sale",$A110)</f>
        <v/>
      </c>
      <c r="G110" s="47" t="str">
        <f>GETPIVOTDATA("USD Value",'Total Sales by Country per Year'!$A$1,"Country","United Kingdom - GB","Year of Sale",$A110)</f>
        <v/>
      </c>
      <c r="H110" s="47">
        <f>GETPIVOTDATA("USD Value",'Total Sales by Country per Year'!$A$1,"Country","United States - US","Year of Sale",$A110)</f>
        <v>4985300</v>
      </c>
      <c r="I110" s="51">
        <f t="shared" si="3"/>
        <v>4985300</v>
      </c>
    </row>
    <row r="111">
      <c r="A111" s="50">
        <v>2006.0</v>
      </c>
      <c r="B111" s="47" t="str">
        <f>GETPIVOTDATA("USD Value",'Total Sales by Country per Year'!$A$1,"Country","Australia - AU","Year of Sale",$A111)</f>
        <v/>
      </c>
      <c r="C111" s="47" t="str">
        <f>GETPIVOTDATA("USD Value",'Total Sales by Country per Year'!$A$1,"Country","Canada - CA","Year of Sale",$A111)</f>
        <v/>
      </c>
      <c r="D111" s="47" t="str">
        <f>GETPIVOTDATA("USD Value",'Total Sales by Country per Year'!$A$1,"Country","Germany - DE","Year of Sale",$A111)</f>
        <v/>
      </c>
      <c r="E111" s="47" t="str">
        <f>GETPIVOTDATA("USD Value",'Total Sales by Country per Year'!$A$1,"Country","Netherlands - NL","Year of Sale",$A111)</f>
        <v/>
      </c>
      <c r="F111" s="47" t="str">
        <f>GETPIVOTDATA("USD Value",'Total Sales by Country per Year'!$A$1,"Country","New Zealand - NZ","Year of Sale",$A111)</f>
        <v/>
      </c>
      <c r="G111" s="47" t="str">
        <f>GETPIVOTDATA("USD Value",'Total Sales by Country per Year'!$A$1,"Country","United Kingdom - GB","Year of Sale",$A111)</f>
        <v/>
      </c>
      <c r="H111" s="47">
        <f>GETPIVOTDATA("USD Value",'Total Sales by Country per Year'!$A$1,"Country","United States - US","Year of Sale",$A111)</f>
        <v>17781739</v>
      </c>
      <c r="I111" s="51">
        <f t="shared" si="3"/>
        <v>17781739</v>
      </c>
    </row>
    <row r="112">
      <c r="A112" s="50">
        <v>2007.0</v>
      </c>
      <c r="B112" s="47">
        <f>GETPIVOTDATA("USD Value",'Total Sales by Country per Year'!$A$1,"Country","Australia - AU","Year of Sale",$A112)</f>
        <v>576720.4854</v>
      </c>
      <c r="C112" s="47" t="str">
        <f>GETPIVOTDATA("USD Value",'Total Sales by Country per Year'!$A$1,"Country","Canada - CA","Year of Sale",$A112)</f>
        <v/>
      </c>
      <c r="D112" s="47" t="str">
        <f>GETPIVOTDATA("USD Value",'Total Sales by Country per Year'!$A$1,"Country","Germany - DE","Year of Sale",$A112)</f>
        <v/>
      </c>
      <c r="E112" s="47" t="str">
        <f>GETPIVOTDATA("USD Value",'Total Sales by Country per Year'!$A$1,"Country","Netherlands - NL","Year of Sale",$A112)</f>
        <v/>
      </c>
      <c r="F112" s="47" t="str">
        <f>GETPIVOTDATA("USD Value",'Total Sales by Country per Year'!$A$1,"Country","New Zealand - NZ","Year of Sale",$A112)</f>
        <v/>
      </c>
      <c r="G112" s="47" t="str">
        <f>GETPIVOTDATA("USD Value",'Total Sales by Country per Year'!$A$1,"Country","United Kingdom - GB","Year of Sale",$A112)</f>
        <v/>
      </c>
      <c r="H112" s="47">
        <f>GETPIVOTDATA("USD Value",'Total Sales by Country per Year'!$A$1,"Country","United States - US","Year of Sale",$A112)</f>
        <v>34115500</v>
      </c>
      <c r="I112" s="51">
        <f t="shared" si="3"/>
        <v>34692220.49</v>
      </c>
    </row>
    <row r="113">
      <c r="A113" s="50">
        <v>2008.0</v>
      </c>
      <c r="B113" s="47" t="str">
        <f>GETPIVOTDATA("USD Value",'Total Sales by Country per Year'!$A$1,"Country","Australia - AU","Year of Sale",$A113)</f>
        <v/>
      </c>
      <c r="C113" s="47" t="str">
        <f>GETPIVOTDATA("USD Value",'Total Sales by Country per Year'!$A$1,"Country","Canada - CA","Year of Sale",$A113)</f>
        <v/>
      </c>
      <c r="D113" s="47" t="str">
        <f>GETPIVOTDATA("USD Value",'Total Sales by Country per Year'!$A$1,"Country","Germany - DE","Year of Sale",$A113)</f>
        <v/>
      </c>
      <c r="E113" s="47" t="str">
        <f>GETPIVOTDATA("USD Value",'Total Sales by Country per Year'!$A$1,"Country","Netherlands - NL","Year of Sale",$A113)</f>
        <v/>
      </c>
      <c r="F113" s="47" t="str">
        <f>GETPIVOTDATA("USD Value",'Total Sales by Country per Year'!$A$1,"Country","New Zealand - NZ","Year of Sale",$A113)</f>
        <v/>
      </c>
      <c r="G113" s="47" t="str">
        <f>GETPIVOTDATA("USD Value",'Total Sales by Country per Year'!$A$1,"Country","United Kingdom - GB","Year of Sale",$A113)</f>
        <v/>
      </c>
      <c r="H113" s="47">
        <f>GETPIVOTDATA("USD Value",'Total Sales by Country per Year'!$A$1,"Country","United States - US","Year of Sale",$A113)</f>
        <v>3734500</v>
      </c>
      <c r="I113" s="51">
        <f t="shared" si="3"/>
        <v>3734500</v>
      </c>
    </row>
    <row r="114">
      <c r="A114" s="50">
        <v>2009.0</v>
      </c>
      <c r="B114" s="47">
        <f>GETPIVOTDATA("USD Value",'Total Sales by Country per Year'!$A$1,"Country","Australia - AU","Year of Sale",$A114)</f>
        <v>1208460.1</v>
      </c>
      <c r="C114" s="47" t="str">
        <f>GETPIVOTDATA("USD Value",'Total Sales by Country per Year'!$A$1,"Country","Canada - CA","Year of Sale",$A114)</f>
        <v/>
      </c>
      <c r="D114" s="47" t="str">
        <f>GETPIVOTDATA("USD Value",'Total Sales by Country per Year'!$A$1,"Country","Germany - DE","Year of Sale",$A114)</f>
        <v/>
      </c>
      <c r="E114" s="47" t="str">
        <f>GETPIVOTDATA("USD Value",'Total Sales by Country per Year'!$A$1,"Country","Netherlands - NL","Year of Sale",$A114)</f>
        <v/>
      </c>
      <c r="F114" s="47" t="str">
        <f>GETPIVOTDATA("USD Value",'Total Sales by Country per Year'!$A$1,"Country","New Zealand - NZ","Year of Sale",$A114)</f>
        <v/>
      </c>
      <c r="G114" s="47" t="str">
        <f>GETPIVOTDATA("USD Value",'Total Sales by Country per Year'!$A$1,"Country","United Kingdom - GB","Year of Sale",$A114)</f>
        <v/>
      </c>
      <c r="H114" s="47">
        <f>GETPIVOTDATA("USD Value",'Total Sales by Country per Year'!$A$1,"Country","United States - US","Year of Sale",$A114)</f>
        <v>3048200</v>
      </c>
      <c r="I114" s="51">
        <f t="shared" si="3"/>
        <v>4256660.1</v>
      </c>
    </row>
    <row r="115">
      <c r="A115" s="50">
        <v>2010.0</v>
      </c>
      <c r="B115" s="47" t="str">
        <f>GETPIVOTDATA("USD Value",'Total Sales by Country per Year'!$A$1,"Country","Australia - AU","Year of Sale",$A115)</f>
        <v/>
      </c>
      <c r="C115" s="47" t="str">
        <f>GETPIVOTDATA("USD Value",'Total Sales by Country per Year'!$A$1,"Country","Canada - CA","Year of Sale",$A115)</f>
        <v/>
      </c>
      <c r="D115" s="47" t="str">
        <f>GETPIVOTDATA("USD Value",'Total Sales by Country per Year'!$A$1,"Country","Germany - DE","Year of Sale",$A115)</f>
        <v/>
      </c>
      <c r="E115" s="47" t="str">
        <f>GETPIVOTDATA("USD Value",'Total Sales by Country per Year'!$A$1,"Country","Netherlands - NL","Year of Sale",$A115)</f>
        <v/>
      </c>
      <c r="F115" s="47" t="str">
        <f>GETPIVOTDATA("USD Value",'Total Sales by Country per Year'!$A$1,"Country","New Zealand - NZ","Year of Sale",$A115)</f>
        <v/>
      </c>
      <c r="G115" s="47" t="str">
        <f>GETPIVOTDATA("USD Value",'Total Sales by Country per Year'!$A$1,"Country","United Kingdom - GB","Year of Sale",$A115)</f>
        <v/>
      </c>
      <c r="H115" s="47">
        <f>GETPIVOTDATA("USD Value",'Total Sales by Country per Year'!$A$1,"Country","United States - US","Year of Sale",$A115)</f>
        <v>7019459</v>
      </c>
      <c r="I115" s="51">
        <f t="shared" si="3"/>
        <v>7019459</v>
      </c>
    </row>
    <row r="116">
      <c r="A116" s="50">
        <v>2011.0</v>
      </c>
      <c r="B116" s="47">
        <f>GETPIVOTDATA("USD Value",'Total Sales by Country per Year'!$A$1,"Country","Australia - AU","Year of Sale",$A116)</f>
        <v>443201.0034</v>
      </c>
      <c r="C116" s="47" t="str">
        <f>GETPIVOTDATA("USD Value",'Total Sales by Country per Year'!$A$1,"Country","Canada - CA","Year of Sale",$A116)</f>
        <v/>
      </c>
      <c r="D116" s="47" t="str">
        <f>GETPIVOTDATA("USD Value",'Total Sales by Country per Year'!$A$1,"Country","Germany - DE","Year of Sale",$A116)</f>
        <v/>
      </c>
      <c r="E116" s="47" t="str">
        <f>GETPIVOTDATA("USD Value",'Total Sales by Country per Year'!$A$1,"Country","Netherlands - NL","Year of Sale",$A116)</f>
        <v/>
      </c>
      <c r="F116" s="47" t="str">
        <f>GETPIVOTDATA("USD Value",'Total Sales by Country per Year'!$A$1,"Country","New Zealand - NZ","Year of Sale",$A116)</f>
        <v/>
      </c>
      <c r="G116" s="47" t="str">
        <f>GETPIVOTDATA("USD Value",'Total Sales by Country per Year'!$A$1,"Country","United Kingdom - GB","Year of Sale",$A116)</f>
        <v/>
      </c>
      <c r="H116" s="47">
        <f>GETPIVOTDATA("USD Value",'Total Sales by Country per Year'!$A$1,"Country","United States - US","Year of Sale",$A116)</f>
        <v>14190650</v>
      </c>
      <c r="I116" s="51">
        <f t="shared" si="3"/>
        <v>14633851</v>
      </c>
    </row>
    <row r="117">
      <c r="A117" s="50">
        <v>2012.0</v>
      </c>
      <c r="B117" s="52">
        <f>GETPIVOTDATA("USD Value",'Total Sales by Country per Year'!$A$1,"Country","Australia - AU","Year of Sale",$A117)</f>
        <v>1239766.001</v>
      </c>
      <c r="C117" s="47" t="str">
        <f>GETPIVOTDATA("USD Value",'Total Sales by Country per Year'!$A$1,"Country","Canada - CA","Year of Sale",$A117)</f>
        <v/>
      </c>
      <c r="D117" s="47" t="str">
        <f>GETPIVOTDATA("USD Value",'Total Sales by Country per Year'!$A$1,"Country","Germany - DE","Year of Sale",$A117)</f>
        <v/>
      </c>
      <c r="E117" s="47" t="str">
        <f>GETPIVOTDATA("USD Value",'Total Sales by Country per Year'!$A$1,"Country","Netherlands - NL","Year of Sale",$A117)</f>
        <v/>
      </c>
      <c r="F117" s="47" t="str">
        <f>GETPIVOTDATA("USD Value",'Total Sales by Country per Year'!$A$1,"Country","New Zealand - NZ","Year of Sale",$A117)</f>
        <v/>
      </c>
      <c r="G117" s="47" t="str">
        <f>GETPIVOTDATA("USD Value",'Total Sales by Country per Year'!$A$1,"Country","United Kingdom - GB","Year of Sale",$A117)</f>
        <v/>
      </c>
      <c r="H117" s="47">
        <f>GETPIVOTDATA("USD Value",'Total Sales by Country per Year'!$A$1,"Country","United States - US","Year of Sale",$A117)</f>
        <v>103944800</v>
      </c>
      <c r="I117" s="51">
        <f t="shared" si="3"/>
        <v>105184566</v>
      </c>
    </row>
    <row r="118">
      <c r="A118" s="50">
        <v>2013.0</v>
      </c>
      <c r="B118" s="47" t="str">
        <f>GETPIVOTDATA("USD Value",'Total Sales by Country per Year'!$A$1,"Country","Australia - AU","Year of Sale",$A118)</f>
        <v/>
      </c>
      <c r="C118" s="47" t="str">
        <f>GETPIVOTDATA("USD Value",'Total Sales by Country per Year'!$A$1,"Country","Canada - CA","Year of Sale",$A118)</f>
        <v/>
      </c>
      <c r="D118" s="47" t="str">
        <f>GETPIVOTDATA("USD Value",'Total Sales by Country per Year'!$A$1,"Country","Germany - DE","Year of Sale",$A118)</f>
        <v/>
      </c>
      <c r="E118" s="47" t="str">
        <f>GETPIVOTDATA("USD Value",'Total Sales by Country per Year'!$A$1,"Country","Netherlands - NL","Year of Sale",$A118)</f>
        <v/>
      </c>
      <c r="F118" s="47">
        <f>GETPIVOTDATA("USD Value",'Total Sales by Country per Year'!$A$1,"Country","New Zealand - NZ","Year of Sale",$A118)</f>
        <v>11453396.52</v>
      </c>
      <c r="G118" s="47">
        <f>GETPIVOTDATA("USD Value",'Total Sales by Country per Year'!$A$1,"Country","United Kingdom - GB","Year of Sale",$A118)</f>
        <v>8070617.907</v>
      </c>
      <c r="H118" s="47">
        <f>GETPIVOTDATA("USD Value",'Total Sales by Country per Year'!$A$1,"Country","United States - US","Year of Sale",$A118)</f>
        <v>413135564</v>
      </c>
      <c r="I118" s="51">
        <f t="shared" si="3"/>
        <v>432659578.4</v>
      </c>
    </row>
    <row r="119">
      <c r="A119" s="50">
        <v>2014.0</v>
      </c>
      <c r="B119" s="47" t="str">
        <f>GETPIVOTDATA("USD Value",'Total Sales by Country per Year'!$A$1,"Country","Australia - AU","Year of Sale",$A119)</f>
        <v/>
      </c>
      <c r="C119" s="47" t="str">
        <f>GETPIVOTDATA("USD Value",'Total Sales by Country per Year'!$A$1,"Country","Canada - CA","Year of Sale",$A119)</f>
        <v/>
      </c>
      <c r="D119" s="47" t="str">
        <f>GETPIVOTDATA("USD Value",'Total Sales by Country per Year'!$A$1,"Country","Germany - DE","Year of Sale",$A119)</f>
        <v/>
      </c>
      <c r="E119" s="47" t="str">
        <f>GETPIVOTDATA("USD Value",'Total Sales by Country per Year'!$A$1,"Country","Netherlands - NL","Year of Sale",$A119)</f>
        <v/>
      </c>
      <c r="F119" s="47" t="str">
        <f>GETPIVOTDATA("USD Value",'Total Sales by Country per Year'!$A$1,"Country","New Zealand - NZ","Year of Sale",$A119)</f>
        <v/>
      </c>
      <c r="G119" s="52" t="str">
        <f>GETPIVOTDATA("USD Value",'Total Sales by Country per Year'!$A$1,"Country","United Kingdom - GB","Year of Sale",$A119)</f>
        <v/>
      </c>
      <c r="H119" s="47">
        <f>GETPIVOTDATA("USD Value",'Total Sales by Country per Year'!$A$1,"Country","United States - US","Year of Sale",$A119)</f>
        <v>9294300</v>
      </c>
      <c r="I119" s="51">
        <f t="shared" si="3"/>
        <v>9294300</v>
      </c>
    </row>
    <row r="120">
      <c r="A120" s="50">
        <v>2015.0</v>
      </c>
      <c r="B120" s="47">
        <f>GETPIVOTDATA("USD Value",'Total Sales by Country per Year'!$A$1,"Country","Australia - AU","Year of Sale",$A120)</f>
        <v>1710534.568</v>
      </c>
      <c r="C120" s="47" t="str">
        <f>GETPIVOTDATA("USD Value",'Total Sales by Country per Year'!$A$1,"Country","Canada - CA","Year of Sale",$A120)</f>
        <v/>
      </c>
      <c r="D120" s="47">
        <f>GETPIVOTDATA("USD Value",'Total Sales by Country per Year'!$A$1,"Country","Germany - DE","Year of Sale",$A120)</f>
        <v>184674.1668</v>
      </c>
      <c r="E120" s="47" t="str">
        <f>GETPIVOTDATA("USD Value",'Total Sales by Country per Year'!$A$1,"Country","Netherlands - NL","Year of Sale",$A120)</f>
        <v/>
      </c>
      <c r="F120" s="47" t="str">
        <f>GETPIVOTDATA("USD Value",'Total Sales by Country per Year'!$A$1,"Country","New Zealand - NZ","Year of Sale",$A120)</f>
        <v/>
      </c>
      <c r="G120" s="47">
        <f>GETPIVOTDATA("USD Value",'Total Sales by Country per Year'!$A$1,"Country","United Kingdom - GB","Year of Sale",$A120)</f>
        <v>136322.5626</v>
      </c>
      <c r="H120" s="47">
        <f>GETPIVOTDATA("USD Value",'Total Sales by Country per Year'!$A$1,"Country","United States - US","Year of Sale",$A120)</f>
        <v>1816812</v>
      </c>
      <c r="I120" s="51">
        <f t="shared" si="3"/>
        <v>3848343.297</v>
      </c>
    </row>
    <row r="121">
      <c r="A121" s="50">
        <v>2016.0</v>
      </c>
      <c r="B121" s="47">
        <f>GETPIVOTDATA("USD Value",'Total Sales by Country per Year'!$A$1,"Country","Australia - AU","Year of Sale",$A121)</f>
        <v>3580743.825</v>
      </c>
      <c r="C121" s="47" t="str">
        <f>GETPIVOTDATA("USD Value",'Total Sales by Country per Year'!$A$1,"Country","Canada - CA","Year of Sale",$A121)</f>
        <v/>
      </c>
      <c r="D121" s="52" t="str">
        <f>GETPIVOTDATA("USD Value",'Total Sales by Country per Year'!$A$1,"Country","Germany - DE","Year of Sale",$A121)</f>
        <v/>
      </c>
      <c r="E121" s="47" t="str">
        <f>GETPIVOTDATA("USD Value",'Total Sales by Country per Year'!$A$1,"Country","Netherlands - NL","Year of Sale",$A121)</f>
        <v/>
      </c>
      <c r="F121" s="47" t="str">
        <f>GETPIVOTDATA("USD Value",'Total Sales by Country per Year'!$A$1,"Country","New Zealand - NZ","Year of Sale",$A121)</f>
        <v/>
      </c>
      <c r="G121" s="47">
        <f>GETPIVOTDATA("USD Value",'Total Sales by Country per Year'!$A$1,"Country","United Kingdom - GB","Year of Sale",$A121)</f>
        <v>272074.9026</v>
      </c>
      <c r="H121" s="47">
        <f>GETPIVOTDATA("USD Value",'Total Sales by Country per Year'!$A$1,"Country","United States - US","Year of Sale",$A121)</f>
        <v>859826000</v>
      </c>
      <c r="I121" s="51">
        <f t="shared" si="3"/>
        <v>863678818.7</v>
      </c>
    </row>
    <row r="122">
      <c r="A122" s="50">
        <v>2017.0</v>
      </c>
      <c r="B122" s="47">
        <f>GETPIVOTDATA("USD Value",'Total Sales by Country per Year'!$A$1,"Country","Australia - AU","Year of Sale",$A122)</f>
        <v>4466599.047</v>
      </c>
      <c r="C122" s="52" t="str">
        <f>GETPIVOTDATA("USD Value",'Total Sales by Country per Year'!$A$1,"Country","Canada - CA","Year of Sale",$A122)</f>
        <v/>
      </c>
      <c r="D122" s="47">
        <f>GETPIVOTDATA("USD Value",'Total Sales by Country per Year'!$A$1,"Country","Germany - DE","Year of Sale",$A122)</f>
        <v>645175.0146</v>
      </c>
      <c r="E122" s="47" t="str">
        <f>GETPIVOTDATA("USD Value",'Total Sales by Country per Year'!$A$1,"Country","Netherlands - NL","Year of Sale",$A122)</f>
        <v/>
      </c>
      <c r="F122" s="47">
        <f>GETPIVOTDATA("USD Value",'Total Sales by Country per Year'!$A$1,"Country","New Zealand - NZ","Year of Sale",$A122)</f>
        <v>288673.2108</v>
      </c>
      <c r="G122" s="47">
        <f>GETPIVOTDATA("USD Value",'Total Sales by Country per Year'!$A$1,"Country","United Kingdom - GB","Year of Sale",$A122)</f>
        <v>46734296.7</v>
      </c>
      <c r="H122" s="47">
        <f>GETPIVOTDATA("USD Value",'Total Sales by Country per Year'!$A$1,"Country","United States - US","Year of Sale",$A122)</f>
        <v>481295880</v>
      </c>
      <c r="I122" s="51">
        <f t="shared" si="3"/>
        <v>533430624</v>
      </c>
    </row>
    <row r="123">
      <c r="A123" s="50">
        <v>2018.0</v>
      </c>
      <c r="B123" s="47">
        <f>GETPIVOTDATA("USD Value",'Total Sales by Country per Year'!$A$1,"Country","Australia - AU","Year of Sale",$A123)</f>
        <v>241152.968</v>
      </c>
      <c r="C123" s="47">
        <f>GETPIVOTDATA("USD Value",'Total Sales by Country per Year'!$A$1,"Country","Canada - CA","Year of Sale",$A123)</f>
        <v>358274.4885</v>
      </c>
      <c r="D123" s="47" t="str">
        <f>GETPIVOTDATA("USD Value",'Total Sales by Country per Year'!$A$1,"Country","Germany - DE","Year of Sale",$A123)</f>
        <v/>
      </c>
      <c r="E123" s="47" t="str">
        <f>GETPIVOTDATA("USD Value",'Total Sales by Country per Year'!$A$1,"Country","Netherlands - NL","Year of Sale",$A123)</f>
        <v/>
      </c>
      <c r="F123" s="52">
        <f>GETPIVOTDATA("USD Value",'Total Sales by Country per Year'!$A$1,"Country","New Zealand - NZ","Year of Sale",$A123)</f>
        <v>910128.3281</v>
      </c>
      <c r="G123" s="47">
        <f>GETPIVOTDATA("USD Value",'Total Sales by Country per Year'!$A$1,"Country","United Kingdom - GB","Year of Sale",$A123)</f>
        <v>26863529.36</v>
      </c>
      <c r="H123" s="47">
        <f>GETPIVOTDATA("USD Value",'Total Sales by Country per Year'!$A$1,"Country","United States - US","Year of Sale",$A123)</f>
        <v>121360296</v>
      </c>
      <c r="I123" s="51">
        <f t="shared" si="3"/>
        <v>149733381.1</v>
      </c>
    </row>
    <row r="124">
      <c r="A124" s="50">
        <v>2019.0</v>
      </c>
      <c r="B124" s="47">
        <f>GETPIVOTDATA("USD Value",'Total Sales by Country per Year'!$A$1,"Country","Australia - AU","Year of Sale",$A124)</f>
        <v>6456140.8</v>
      </c>
      <c r="C124" s="47">
        <f>GETPIVOTDATA("USD Value",'Total Sales by Country per Year'!$A$1,"Country","Canada - CA","Year of Sale",$A124)</f>
        <v>635168.8083</v>
      </c>
      <c r="D124" s="47">
        <f>GETPIVOTDATA("USD Value",'Total Sales by Country per Year'!$A$1,"Country","Germany - DE","Year of Sale",$A124)</f>
        <v>3992076.928</v>
      </c>
      <c r="E124" s="52">
        <f>GETPIVOTDATA("USD Value",'Total Sales by Country per Year'!$A$1,"Country","Netherlands - NL","Year of Sale",$A124)</f>
        <v>381041.2093</v>
      </c>
      <c r="F124" s="47">
        <f>GETPIVOTDATA("USD Value",'Total Sales by Country per Year'!$A$1,"Country","New Zealand - NZ","Year of Sale",$A124)</f>
        <v>1086660.836</v>
      </c>
      <c r="G124" s="47">
        <f>GETPIVOTDATA("USD Value",'Total Sales by Country per Year'!$A$1,"Country","United Kingdom - GB","Year of Sale",$A124)</f>
        <v>21927040.35</v>
      </c>
      <c r="H124" s="47">
        <f>GETPIVOTDATA("USD Value",'Total Sales by Country per Year'!$A$1,"Country","United States - US","Year of Sale",$A124)</f>
        <v>35285272</v>
      </c>
      <c r="I124" s="51">
        <f t="shared" si="3"/>
        <v>69763400.93</v>
      </c>
    </row>
    <row r="125">
      <c r="A125" s="50">
        <v>2020.0</v>
      </c>
      <c r="B125" s="47">
        <f>GETPIVOTDATA("USD Value",'Total Sales by Country per Year'!$A$1,"Country","Australia - AU","Year of Sale",$A125)</f>
        <v>3713608.06</v>
      </c>
      <c r="C125" s="47">
        <f>GETPIVOTDATA("USD Value",'Total Sales by Country per Year'!$A$1,"Country","Canada - CA","Year of Sale",$A125)</f>
        <v>1127360.005</v>
      </c>
      <c r="D125" s="47">
        <f>GETPIVOTDATA("USD Value",'Total Sales by Country per Year'!$A$1,"Country","Germany - DE","Year of Sale",$A125)</f>
        <v>1454711.647</v>
      </c>
      <c r="E125" s="47" t="str">
        <f>GETPIVOTDATA("USD Value",'Total Sales by Country per Year'!$A$1,"Country","Netherlands - NL","Year of Sale",$A125)</f>
        <v/>
      </c>
      <c r="F125" s="47" t="str">
        <f>GETPIVOTDATA("USD Value",'Total Sales by Country per Year'!$A$1,"Country","New Zealand - NZ","Year of Sale",$A125)</f>
        <v/>
      </c>
      <c r="G125" s="47">
        <f>GETPIVOTDATA("USD Value",'Total Sales by Country per Year'!$A$1,"Country","United Kingdom - GB","Year of Sale",$A125)</f>
        <v>46760015.04</v>
      </c>
      <c r="H125" s="52">
        <f>GETPIVOTDATA("USD Value",'Total Sales by Country per Year'!$A$1,"Country","United States - US","Year of Sale",$A125)</f>
        <v>16200100</v>
      </c>
      <c r="I125" s="51">
        <f t="shared" si="3"/>
        <v>69255794.76</v>
      </c>
    </row>
    <row r="126">
      <c r="A126" s="53" t="s">
        <v>2437</v>
      </c>
      <c r="B126" s="54">
        <f>GETPIVOTDATA("USD Value",'Total Sales by Country per Year'!$A$1,"Country","Australia - AU","Year of Sale",$A126)</f>
        <v>219402.1073</v>
      </c>
      <c r="C126" s="54">
        <f>GETPIVOTDATA("USD Value",'Total Sales by Country per Year'!$A$1,"Country","Canada - CA","Year of Sale",$A126)</f>
        <v>2496979.566</v>
      </c>
      <c r="D126" s="54">
        <f>GETPIVOTDATA("USD Value",'Total Sales by Country per Year'!$A$1,"Country","Germany - DE","Year of Sale",$A126)</f>
        <v>2943329.746</v>
      </c>
      <c r="E126" s="54">
        <f>GETPIVOTDATA("USD Value",'Total Sales by Country per Year'!$A$1,"Country","Netherlands - NL","Year of Sale",$A126)</f>
        <v>0</v>
      </c>
      <c r="F126" s="54" t="str">
        <f>GETPIVOTDATA("USD Value",'Total Sales by Country per Year'!$A$1,"Country","New Zealand - NZ","Year of Sale",$A126)</f>
        <v/>
      </c>
      <c r="G126" s="54">
        <f>GETPIVOTDATA("USD Value",'Total Sales by Country per Year'!$A$1,"Country","United Kingdom - GB","Year of Sale",$A126)</f>
        <v>4297932.969</v>
      </c>
      <c r="H126" s="54">
        <f>GETPIVOTDATA("USD Value",'Total Sales by Country per Year'!$A$1,"Country","United States - US","Year of Sale",$A126)</f>
        <v>17411460</v>
      </c>
      <c r="I126" s="55">
        <f t="shared" si="3"/>
        <v>27369104.39</v>
      </c>
    </row>
    <row r="127">
      <c r="A127" s="5" t="s">
        <v>3668</v>
      </c>
      <c r="B127" s="51">
        <f t="shared" ref="B127:I127" si="4">SUM(B109:B126)</f>
        <v>23856328.97</v>
      </c>
      <c r="C127" s="51">
        <f t="shared" si="4"/>
        <v>4617782.868</v>
      </c>
      <c r="D127" s="51">
        <f t="shared" si="4"/>
        <v>9219967.503</v>
      </c>
      <c r="E127" s="51">
        <f t="shared" si="4"/>
        <v>381041.2093</v>
      </c>
      <c r="F127" s="51">
        <f t="shared" si="4"/>
        <v>13738858.9</v>
      </c>
      <c r="G127" s="51">
        <f t="shared" si="4"/>
        <v>155061829.8</v>
      </c>
      <c r="H127" s="51">
        <f t="shared" si="4"/>
        <v>2350595732</v>
      </c>
      <c r="I127" s="51">
        <f t="shared" si="4"/>
        <v>2557471541</v>
      </c>
    </row>
    <row r="129">
      <c r="A129" s="56" t="s">
        <v>3669</v>
      </c>
      <c r="B129" s="57" t="s">
        <v>3670</v>
      </c>
      <c r="C129" s="57" t="s">
        <v>3671</v>
      </c>
      <c r="D129" s="57" t="s">
        <v>3672</v>
      </c>
      <c r="E129" s="57" t="s">
        <v>3673</v>
      </c>
      <c r="F129" s="57" t="s">
        <v>3674</v>
      </c>
      <c r="G129" s="57" t="s">
        <v>3675</v>
      </c>
      <c r="H129" s="57" t="s">
        <v>3676</v>
      </c>
    </row>
    <row r="132">
      <c r="A132" s="49" t="s">
        <v>3696</v>
      </c>
    </row>
    <row r="133">
      <c r="A133" s="5" t="s">
        <v>3660</v>
      </c>
      <c r="B133" s="1" t="s">
        <v>3697</v>
      </c>
      <c r="C133" s="3"/>
    </row>
    <row r="134">
      <c r="A134" s="50">
        <v>2004.0</v>
      </c>
      <c r="B134" s="47">
        <f>GETPIVOTDATA("USD Value",'Total Sales by Country per Year'!$A$1,"Year of Sale",A134)</f>
        <v>206149900</v>
      </c>
    </row>
    <row r="135">
      <c r="A135" s="50">
        <v>2005.0</v>
      </c>
      <c r="B135" s="47">
        <f>GETPIVOTDATA("USD Value",'Total Sales by Country per Year'!$A$1,"Year of Sale",A135)</f>
        <v>4985300</v>
      </c>
    </row>
    <row r="136">
      <c r="A136" s="50">
        <v>2006.0</v>
      </c>
      <c r="B136" s="47">
        <f>GETPIVOTDATA("USD Value",'Total Sales by Country per Year'!$A$1,"Year of Sale",A136)</f>
        <v>17781739</v>
      </c>
    </row>
    <row r="137">
      <c r="A137" s="50">
        <v>2007.0</v>
      </c>
      <c r="B137" s="47">
        <f>GETPIVOTDATA("USD Value",'Total Sales by Country per Year'!$A$1,"Year of Sale",A137)</f>
        <v>34692220.49</v>
      </c>
    </row>
    <row r="138">
      <c r="A138" s="50">
        <v>2008.0</v>
      </c>
      <c r="B138" s="47">
        <f>GETPIVOTDATA("USD Value",'Total Sales by Country per Year'!$A$1,"Year of Sale",A138)</f>
        <v>3734500</v>
      </c>
    </row>
    <row r="139">
      <c r="A139" s="50">
        <v>2009.0</v>
      </c>
      <c r="B139" s="47">
        <f>GETPIVOTDATA("USD Value",'Total Sales by Country per Year'!$A$1,"Year of Sale",A139)</f>
        <v>4256660.1</v>
      </c>
    </row>
    <row r="140">
      <c r="A140" s="50">
        <v>2010.0</v>
      </c>
      <c r="B140" s="47">
        <f>GETPIVOTDATA("USD Value",'Total Sales by Country per Year'!$A$1,"Year of Sale",A140)</f>
        <v>7019459</v>
      </c>
    </row>
    <row r="141">
      <c r="A141" s="50">
        <v>2011.0</v>
      </c>
      <c r="B141" s="47">
        <f>GETPIVOTDATA("USD Value",'Total Sales by Country per Year'!$A$1,"Year of Sale",A141)</f>
        <v>20998503.14</v>
      </c>
    </row>
    <row r="142">
      <c r="A142" s="50">
        <v>2012.0</v>
      </c>
      <c r="B142" s="47">
        <f>GETPIVOTDATA("USD Value",'Total Sales by Country per Year'!$A$1,"Year of Sale",A142)</f>
        <v>110484685.3</v>
      </c>
    </row>
    <row r="143">
      <c r="A143" s="50">
        <v>2013.0</v>
      </c>
      <c r="B143" s="47">
        <f>GETPIVOTDATA("USD Value",'Total Sales by Country per Year'!$A$1,"Year of Sale",A143)</f>
        <v>432659578.4</v>
      </c>
    </row>
    <row r="144">
      <c r="A144" s="50">
        <v>2014.0</v>
      </c>
      <c r="B144" s="47">
        <f>GETPIVOTDATA("USD Value",'Total Sales by Country per Year'!$A$1,"Year of Sale",A144)</f>
        <v>9294300</v>
      </c>
    </row>
    <row r="145">
      <c r="A145" s="50">
        <v>2015.0</v>
      </c>
      <c r="B145" s="47">
        <f>GETPIVOTDATA("USD Value",'Total Sales by Country per Year'!$A$1,"Year of Sale",A145)</f>
        <v>70935681.98</v>
      </c>
    </row>
    <row r="146">
      <c r="A146" s="50">
        <v>2016.0</v>
      </c>
      <c r="B146" s="47">
        <f>GETPIVOTDATA("USD Value",'Total Sales by Country per Year'!$A$1,"Year of Sale",A146)</f>
        <v>863756438.4</v>
      </c>
    </row>
    <row r="147">
      <c r="A147" s="50">
        <v>2017.0</v>
      </c>
      <c r="B147" s="47">
        <f>GETPIVOTDATA("USD Value",'Total Sales by Country per Year'!$A$1,"Year of Sale",A147)</f>
        <v>537082525.1</v>
      </c>
    </row>
    <row r="148">
      <c r="A148" s="50">
        <v>2018.0</v>
      </c>
      <c r="B148" s="47">
        <f>GETPIVOTDATA("USD Value",'Total Sales by Country per Year'!$A$1,"Year of Sale",A148)</f>
        <v>155642467.8</v>
      </c>
    </row>
    <row r="149">
      <c r="A149" s="50">
        <v>2019.0</v>
      </c>
      <c r="B149" s="47">
        <f>GETPIVOTDATA("USD Value",'Total Sales by Country per Year'!$A$1,"Year of Sale",A149)</f>
        <v>74020161.61</v>
      </c>
    </row>
    <row r="150">
      <c r="A150" s="50">
        <v>2020.0</v>
      </c>
      <c r="B150" s="47">
        <f>GETPIVOTDATA("USD Value",'Total Sales by Country per Year'!$A$1,"Year of Sale",A150)</f>
        <v>96570443.03</v>
      </c>
    </row>
    <row r="151">
      <c r="A151" s="53" t="s">
        <v>2437</v>
      </c>
      <c r="B151" s="58">
        <f>GETPIVOTDATA("USD Value",'Total Sales by Country per Year'!$A$1,"Year of Sale",A151)</f>
        <v>47321555.9</v>
      </c>
    </row>
    <row r="152">
      <c r="A152" s="5" t="s">
        <v>3668</v>
      </c>
      <c r="B152" s="51">
        <f>SUM(B134:B151)</f>
        <v>2697386119</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4.86"/>
    <col customWidth="1" min="2" max="2" width="15.86"/>
    <col customWidth="1" min="3" max="19" width="14.43"/>
  </cols>
  <sheetData>
    <row r="1">
      <c r="A1" s="59" t="s">
        <v>3698</v>
      </c>
      <c r="B1" s="48"/>
      <c r="C1" s="48"/>
      <c r="D1" s="48"/>
      <c r="E1" s="48"/>
      <c r="F1" s="48"/>
      <c r="G1" s="48"/>
      <c r="H1" s="48"/>
      <c r="I1" s="48"/>
      <c r="J1" s="48"/>
      <c r="K1" s="48"/>
      <c r="L1" s="48"/>
      <c r="M1" s="48"/>
      <c r="N1" s="48"/>
      <c r="O1" s="48"/>
      <c r="P1" s="48"/>
      <c r="Q1" s="48"/>
      <c r="R1" s="48"/>
      <c r="S1" s="48"/>
      <c r="T1" s="48"/>
      <c r="U1" s="48"/>
      <c r="V1" s="48"/>
      <c r="W1" s="48"/>
      <c r="X1" s="48"/>
      <c r="Y1" s="48"/>
      <c r="Z1" s="48"/>
    </row>
    <row r="2">
      <c r="A2" s="48"/>
      <c r="B2" s="48"/>
      <c r="C2" s="48"/>
      <c r="D2" s="48"/>
      <c r="E2" s="48"/>
      <c r="F2" s="48"/>
      <c r="G2" s="48"/>
      <c r="H2" s="48"/>
      <c r="I2" s="48"/>
      <c r="J2" s="48"/>
      <c r="K2" s="48"/>
      <c r="L2" s="48"/>
      <c r="M2" s="48"/>
      <c r="N2" s="48"/>
      <c r="O2" s="48"/>
      <c r="P2" s="48"/>
      <c r="Q2" s="48"/>
      <c r="R2" s="48"/>
      <c r="S2" s="48"/>
      <c r="T2" s="48"/>
      <c r="U2" s="48"/>
      <c r="V2" s="48"/>
      <c r="W2" s="48"/>
      <c r="X2" s="48"/>
      <c r="Y2" s="48"/>
      <c r="Z2" s="48"/>
    </row>
    <row r="3">
      <c r="W3" s="48"/>
      <c r="X3" s="48"/>
      <c r="Y3" s="48"/>
      <c r="Z3" s="48"/>
    </row>
    <row r="4">
      <c r="W4" s="48"/>
      <c r="X4" s="48"/>
      <c r="Y4" s="48"/>
      <c r="Z4" s="48"/>
    </row>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c r="V48" s="48"/>
    </row>
    <row r="49">
      <c r="V49" s="48"/>
    </row>
    <row r="50">
      <c r="V50" s="48"/>
    </row>
    <row r="51">
      <c r="V51" s="48"/>
    </row>
    <row r="52">
      <c r="V52" s="48"/>
    </row>
    <row r="53">
      <c r="V53" s="48"/>
    </row>
    <row r="54">
      <c r="V54" s="48"/>
    </row>
    <row r="55">
      <c r="V55" s="48"/>
    </row>
    <row r="56">
      <c r="V56" s="48"/>
    </row>
    <row r="57">
      <c r="V57" s="48"/>
    </row>
    <row r="58">
      <c r="V58" s="48"/>
    </row>
    <row r="59">
      <c r="V59" s="48"/>
    </row>
    <row r="60">
      <c r="V60" s="48"/>
    </row>
    <row r="61">
      <c r="V61" s="48"/>
    </row>
    <row r="62">
      <c r="V62" s="48"/>
    </row>
    <row r="63">
      <c r="V63" s="48"/>
    </row>
    <row r="64">
      <c r="V64" s="48"/>
    </row>
    <row r="65">
      <c r="V65" s="48"/>
    </row>
    <row r="66">
      <c r="V66" s="48"/>
    </row>
    <row r="67">
      <c r="V67" s="48"/>
    </row>
    <row r="68">
      <c r="V68" s="48"/>
    </row>
    <row r="69">
      <c r="V69" s="48"/>
    </row>
    <row r="70">
      <c r="V70" s="48"/>
    </row>
    <row r="71">
      <c r="V71" s="48"/>
    </row>
    <row r="72">
      <c r="V72" s="48"/>
    </row>
    <row r="73">
      <c r="V73" s="48"/>
    </row>
    <row r="74">
      <c r="V74" s="48"/>
    </row>
    <row r="75">
      <c r="V75" s="48"/>
    </row>
    <row r="76">
      <c r="V76" s="48"/>
    </row>
    <row r="77">
      <c r="V77" s="48"/>
    </row>
    <row r="78">
      <c r="V78" s="48"/>
    </row>
    <row r="79">
      <c r="V79" s="48"/>
    </row>
    <row r="80">
      <c r="V80" s="48"/>
    </row>
    <row r="81">
      <c r="V81" s="48"/>
    </row>
    <row r="82">
      <c r="V82" s="48"/>
    </row>
    <row r="83">
      <c r="V83" s="48"/>
    </row>
    <row r="84">
      <c r="V84" s="48"/>
    </row>
    <row r="85">
      <c r="V85" s="48"/>
    </row>
    <row r="86">
      <c r="V86" s="48"/>
    </row>
    <row r="87">
      <c r="V87" s="48"/>
    </row>
    <row r="88">
      <c r="V88" s="48"/>
    </row>
    <row r="89">
      <c r="V89" s="48"/>
    </row>
    <row r="90">
      <c r="V90" s="48"/>
    </row>
    <row r="91">
      <c r="V91" s="48"/>
    </row>
    <row r="92">
      <c r="V92" s="48"/>
    </row>
    <row r="93">
      <c r="V93" s="48"/>
    </row>
    <row r="94">
      <c r="V94" s="48"/>
    </row>
    <row r="95">
      <c r="V95" s="48"/>
    </row>
    <row r="96">
      <c r="V96" s="48"/>
    </row>
    <row r="97">
      <c r="V97" s="48"/>
    </row>
    <row r="98">
      <c r="V98" s="48"/>
    </row>
    <row r="99">
      <c r="V99" s="48"/>
    </row>
    <row r="100">
      <c r="V100" s="48"/>
    </row>
    <row r="101">
      <c r="V101" s="48"/>
    </row>
    <row r="102">
      <c r="V102" s="48"/>
    </row>
    <row r="103">
      <c r="V103" s="48"/>
    </row>
    <row r="104">
      <c r="V104" s="48"/>
    </row>
    <row r="105">
      <c r="V105" s="48"/>
    </row>
    <row r="106">
      <c r="V106" s="48"/>
    </row>
    <row r="107">
      <c r="V107" s="48"/>
    </row>
    <row r="108">
      <c r="V108" s="48"/>
    </row>
    <row r="109">
      <c r="V109" s="48"/>
    </row>
    <row r="110">
      <c r="V110" s="48"/>
    </row>
    <row r="111">
      <c r="V111" s="48"/>
    </row>
    <row r="112">
      <c r="V112" s="48"/>
    </row>
    <row r="113">
      <c r="V113" s="48"/>
    </row>
    <row r="114">
      <c r="V114" s="48"/>
    </row>
    <row r="115">
      <c r="V115" s="48"/>
    </row>
    <row r="116">
      <c r="V116" s="48"/>
    </row>
    <row r="117">
      <c r="V117" s="48"/>
    </row>
    <row r="118">
      <c r="V118" s="48"/>
    </row>
    <row r="119">
      <c r="V119" s="48"/>
    </row>
    <row r="120">
      <c r="V120" s="48"/>
    </row>
    <row r="121">
      <c r="V121" s="48"/>
    </row>
    <row r="122">
      <c r="V122" s="48"/>
    </row>
    <row r="123">
      <c r="V123" s="48"/>
    </row>
    <row r="124">
      <c r="V124" s="48"/>
    </row>
    <row r="125">
      <c r="V125" s="48"/>
    </row>
    <row r="126">
      <c r="V126" s="48"/>
    </row>
    <row r="127">
      <c r="V127" s="48"/>
    </row>
    <row r="128">
      <c r="V128" s="48"/>
    </row>
    <row r="129">
      <c r="V129" s="48"/>
    </row>
    <row r="130">
      <c r="V130" s="48"/>
    </row>
    <row r="131">
      <c r="V131" s="48"/>
    </row>
    <row r="132">
      <c r="V132" s="48"/>
    </row>
    <row r="133">
      <c r="V133" s="48"/>
    </row>
    <row r="134">
      <c r="V134" s="48"/>
    </row>
    <row r="135">
      <c r="V135" s="48"/>
    </row>
    <row r="136">
      <c r="V136" s="48"/>
    </row>
    <row r="137">
      <c r="V137" s="48"/>
    </row>
    <row r="138">
      <c r="V138" s="48"/>
    </row>
    <row r="139">
      <c r="V139" s="48"/>
    </row>
    <row r="140">
      <c r="V140" s="48"/>
    </row>
    <row r="141">
      <c r="V141" s="48"/>
    </row>
    <row r="142">
      <c r="V142" s="48"/>
    </row>
    <row r="143">
      <c r="V143" s="48"/>
    </row>
    <row r="144">
      <c r="V144" s="48"/>
    </row>
    <row r="145">
      <c r="V145" s="48"/>
    </row>
    <row r="146">
      <c r="V146" s="48"/>
    </row>
    <row r="147">
      <c r="V147" s="48"/>
    </row>
    <row r="148">
      <c r="V148" s="48"/>
    </row>
    <row r="149">
      <c r="V149" s="48"/>
    </row>
    <row r="150">
      <c r="V150" s="48"/>
    </row>
    <row r="151">
      <c r="V151" s="48"/>
    </row>
    <row r="152">
      <c r="V152" s="48"/>
    </row>
    <row r="153">
      <c r="V153" s="48"/>
    </row>
    <row r="154">
      <c r="V154" s="48"/>
    </row>
    <row r="155">
      <c r="V155" s="48"/>
    </row>
    <row r="156">
      <c r="V156" s="48"/>
    </row>
    <row r="157">
      <c r="V157" s="48"/>
    </row>
    <row r="158">
      <c r="V158" s="48"/>
    </row>
    <row r="159">
      <c r="V159" s="48"/>
    </row>
    <row r="160">
      <c r="V160" s="48"/>
    </row>
    <row r="161">
      <c r="V161" s="48"/>
    </row>
    <row r="162">
      <c r="V162" s="48"/>
    </row>
    <row r="163">
      <c r="V163" s="48"/>
    </row>
    <row r="164">
      <c r="V164" s="48"/>
    </row>
    <row r="165">
      <c r="V165" s="48"/>
    </row>
    <row r="166">
      <c r="V166" s="48"/>
    </row>
    <row r="167">
      <c r="V167" s="48"/>
    </row>
    <row r="168">
      <c r="V168" s="48"/>
    </row>
    <row r="169">
      <c r="V169" s="48"/>
    </row>
    <row r="170">
      <c r="V170" s="48"/>
    </row>
    <row r="171">
      <c r="V171" s="48"/>
    </row>
    <row r="172">
      <c r="V172" s="48"/>
    </row>
    <row r="173">
      <c r="V173" s="48"/>
    </row>
    <row r="174">
      <c r="V174" s="48"/>
    </row>
    <row r="175">
      <c r="V175" s="48"/>
    </row>
    <row r="176">
      <c r="V176" s="48"/>
    </row>
    <row r="177">
      <c r="V177" s="48"/>
    </row>
    <row r="178">
      <c r="V178" s="48"/>
    </row>
    <row r="179">
      <c r="V179" s="48"/>
    </row>
    <row r="180">
      <c r="V180" s="48"/>
    </row>
    <row r="181">
      <c r="V181" s="48"/>
    </row>
    <row r="182">
      <c r="V182" s="48"/>
    </row>
    <row r="183">
      <c r="V183" s="48"/>
    </row>
    <row r="184">
      <c r="V184" s="48"/>
    </row>
    <row r="185">
      <c r="V185" s="48"/>
    </row>
    <row r="186">
      <c r="V186" s="48"/>
    </row>
    <row r="187">
      <c r="V187" s="48"/>
    </row>
    <row r="188">
      <c r="V188" s="48"/>
    </row>
    <row r="189">
      <c r="V189" s="48"/>
    </row>
    <row r="190">
      <c r="V190" s="48"/>
    </row>
    <row r="191">
      <c r="V191" s="48"/>
    </row>
    <row r="192">
      <c r="V192" s="48"/>
    </row>
    <row r="193">
      <c r="V193" s="48"/>
    </row>
    <row r="194">
      <c r="V194" s="48"/>
    </row>
    <row r="195">
      <c r="V195" s="48"/>
    </row>
    <row r="196">
      <c r="V196" s="48"/>
    </row>
    <row r="197">
      <c r="V197" s="48"/>
    </row>
    <row r="198">
      <c r="V198" s="48"/>
    </row>
    <row r="199">
      <c r="V199" s="48"/>
    </row>
    <row r="200">
      <c r="V200" s="48"/>
    </row>
    <row r="201">
      <c r="V201" s="48"/>
    </row>
    <row r="202">
      <c r="V202" s="48"/>
    </row>
    <row r="203">
      <c r="V203" s="48"/>
    </row>
    <row r="204">
      <c r="V204" s="48"/>
    </row>
    <row r="205">
      <c r="V205" s="48"/>
    </row>
    <row r="206">
      <c r="V206" s="48"/>
    </row>
    <row r="207">
      <c r="V207" s="48"/>
    </row>
    <row r="208">
      <c r="V208" s="48"/>
    </row>
    <row r="209">
      <c r="V209" s="48"/>
    </row>
    <row r="210">
      <c r="V210" s="48"/>
    </row>
    <row r="211">
      <c r="V211" s="48"/>
    </row>
    <row r="212">
      <c r="V212" s="48"/>
    </row>
    <row r="213">
      <c r="V213" s="48"/>
    </row>
    <row r="214">
      <c r="V214" s="48"/>
    </row>
    <row r="215">
      <c r="V215" s="48"/>
    </row>
    <row r="216">
      <c r="V216" s="48"/>
    </row>
    <row r="217">
      <c r="V217" s="48"/>
    </row>
    <row r="218">
      <c r="V218" s="48"/>
    </row>
    <row r="219">
      <c r="V219" s="48"/>
    </row>
    <row r="220">
      <c r="V220" s="48"/>
    </row>
    <row r="221">
      <c r="V221" s="48"/>
    </row>
    <row r="222">
      <c r="V222" s="48"/>
    </row>
    <row r="223">
      <c r="V223" s="48"/>
    </row>
    <row r="224">
      <c r="V224" s="48"/>
    </row>
    <row r="225">
      <c r="V225" s="48"/>
    </row>
    <row r="226">
      <c r="V226" s="48"/>
    </row>
    <row r="227">
      <c r="V227" s="48"/>
    </row>
    <row r="228">
      <c r="V228" s="48"/>
    </row>
    <row r="229">
      <c r="V229" s="48"/>
    </row>
    <row r="230">
      <c r="V230" s="48"/>
    </row>
    <row r="231">
      <c r="V231" s="48"/>
    </row>
    <row r="232">
      <c r="V232" s="48"/>
    </row>
    <row r="233">
      <c r="V233" s="48"/>
    </row>
    <row r="234">
      <c r="V234" s="48"/>
    </row>
    <row r="235">
      <c r="V235" s="48"/>
    </row>
    <row r="236">
      <c r="V236" s="48"/>
    </row>
    <row r="237">
      <c r="V237" s="48"/>
    </row>
    <row r="238">
      <c r="V238" s="48"/>
    </row>
    <row r="239">
      <c r="V239" s="48"/>
    </row>
    <row r="240">
      <c r="V240" s="48"/>
    </row>
    <row r="241">
      <c r="V241" s="48"/>
    </row>
    <row r="242">
      <c r="V242" s="48"/>
    </row>
    <row r="243">
      <c r="V243" s="48"/>
    </row>
    <row r="244">
      <c r="V244" s="48"/>
    </row>
    <row r="245">
      <c r="V245" s="48"/>
    </row>
    <row r="246">
      <c r="V246" s="48"/>
    </row>
    <row r="247">
      <c r="V247" s="48"/>
    </row>
    <row r="248">
      <c r="V248" s="48"/>
    </row>
    <row r="249">
      <c r="V249" s="48"/>
    </row>
    <row r="250">
      <c r="V250" s="48"/>
    </row>
    <row r="251">
      <c r="V251" s="48"/>
    </row>
    <row r="252">
      <c r="V252" s="48"/>
    </row>
    <row r="253">
      <c r="V253" s="48"/>
    </row>
    <row r="254">
      <c r="V254" s="48"/>
    </row>
    <row r="255">
      <c r="V255" s="48"/>
    </row>
    <row r="256">
      <c r="V256" s="48"/>
    </row>
    <row r="257">
      <c r="V257" s="48"/>
    </row>
    <row r="258">
      <c r="V258" s="48"/>
    </row>
    <row r="259">
      <c r="V259" s="48"/>
    </row>
    <row r="260">
      <c r="V260" s="48"/>
    </row>
    <row r="261">
      <c r="V261" s="48"/>
    </row>
    <row r="262">
      <c r="V262" s="48"/>
    </row>
    <row r="263">
      <c r="V263" s="48"/>
    </row>
    <row r="264">
      <c r="V264" s="48"/>
    </row>
    <row r="265">
      <c r="V265" s="48"/>
    </row>
    <row r="266">
      <c r="V266" s="48"/>
    </row>
    <row r="267">
      <c r="V267" s="48"/>
    </row>
    <row r="268">
      <c r="V268" s="48"/>
    </row>
    <row r="269">
      <c r="V269" s="48"/>
    </row>
    <row r="270">
      <c r="V270" s="48"/>
    </row>
    <row r="271">
      <c r="V271" s="48"/>
    </row>
    <row r="272">
      <c r="V272" s="48"/>
    </row>
    <row r="273">
      <c r="V273" s="48"/>
    </row>
    <row r="274">
      <c r="V274" s="48"/>
    </row>
    <row r="275">
      <c r="V275" s="48"/>
    </row>
    <row r="276">
      <c r="V276" s="48"/>
    </row>
    <row r="277">
      <c r="V277" s="48"/>
    </row>
    <row r="278">
      <c r="V278" s="48"/>
    </row>
    <row r="279">
      <c r="V279" s="48"/>
    </row>
    <row r="280">
      <c r="V280" s="48"/>
    </row>
    <row r="281">
      <c r="V281" s="48"/>
    </row>
    <row r="282">
      <c r="V282" s="48"/>
    </row>
    <row r="283">
      <c r="V283" s="48"/>
    </row>
    <row r="284">
      <c r="V284" s="48"/>
    </row>
    <row r="285">
      <c r="V285" s="48"/>
    </row>
    <row r="286">
      <c r="V286" s="48"/>
    </row>
    <row r="287">
      <c r="V287" s="48"/>
    </row>
    <row r="288">
      <c r="V288" s="48"/>
    </row>
    <row r="289">
      <c r="V289" s="48"/>
    </row>
    <row r="290">
      <c r="V290" s="48"/>
    </row>
    <row r="291">
      <c r="V291" s="48"/>
    </row>
    <row r="292">
      <c r="V292" s="48"/>
    </row>
    <row r="293">
      <c r="V293" s="48"/>
    </row>
    <row r="294">
      <c r="V294" s="48"/>
    </row>
    <row r="295">
      <c r="V295" s="48"/>
    </row>
    <row r="296">
      <c r="V296" s="48"/>
    </row>
    <row r="297">
      <c r="V297" s="48"/>
    </row>
    <row r="298">
      <c r="V298" s="48"/>
    </row>
    <row r="299">
      <c r="V299" s="48"/>
    </row>
    <row r="300">
      <c r="V300" s="48"/>
    </row>
    <row r="301">
      <c r="V301" s="48"/>
    </row>
    <row r="302">
      <c r="V302" s="48"/>
    </row>
    <row r="303">
      <c r="V303" s="48"/>
    </row>
    <row r="304">
      <c r="V304" s="48"/>
    </row>
    <row r="305">
      <c r="V305" s="48"/>
    </row>
    <row r="306">
      <c r="V306" s="48"/>
    </row>
    <row r="307">
      <c r="V307" s="48"/>
    </row>
    <row r="308">
      <c r="V308" s="48"/>
    </row>
    <row r="309">
      <c r="V309" s="48"/>
    </row>
    <row r="310">
      <c r="V310" s="48"/>
    </row>
    <row r="311">
      <c r="V311" s="48"/>
    </row>
    <row r="312">
      <c r="V312" s="48"/>
    </row>
    <row r="313">
      <c r="V313" s="48"/>
    </row>
    <row r="314">
      <c r="V314" s="48"/>
    </row>
    <row r="315">
      <c r="V315" s="48"/>
    </row>
    <row r="316">
      <c r="V316" s="48"/>
    </row>
    <row r="317">
      <c r="V317" s="48"/>
    </row>
    <row r="318">
      <c r="V318" s="48"/>
    </row>
    <row r="319">
      <c r="V319" s="48"/>
    </row>
    <row r="320">
      <c r="V320" s="48"/>
    </row>
    <row r="321">
      <c r="V321" s="48"/>
    </row>
    <row r="322">
      <c r="V322" s="48"/>
    </row>
    <row r="323">
      <c r="V323" s="48"/>
    </row>
    <row r="324">
      <c r="V324" s="48"/>
    </row>
    <row r="325">
      <c r="V325" s="48"/>
    </row>
    <row r="326">
      <c r="V326" s="48"/>
    </row>
    <row r="327">
      <c r="V327" s="48"/>
    </row>
    <row r="328">
      <c r="V328" s="48"/>
    </row>
    <row r="329">
      <c r="V329" s="48"/>
    </row>
    <row r="330">
      <c r="V330" s="48"/>
    </row>
    <row r="331">
      <c r="V331" s="48"/>
    </row>
    <row r="332">
      <c r="V332" s="48"/>
    </row>
    <row r="333">
      <c r="V333" s="48"/>
    </row>
    <row r="334">
      <c r="V334" s="48"/>
    </row>
    <row r="335">
      <c r="V335" s="48"/>
    </row>
    <row r="336">
      <c r="V336" s="48"/>
    </row>
    <row r="337">
      <c r="V337" s="48"/>
    </row>
    <row r="338">
      <c r="V338" s="48"/>
    </row>
    <row r="339">
      <c r="V339" s="48"/>
    </row>
    <row r="340">
      <c r="V340" s="48"/>
    </row>
    <row r="341">
      <c r="V341" s="48"/>
    </row>
    <row r="342">
      <c r="V342" s="48"/>
    </row>
    <row r="343">
      <c r="V343" s="48"/>
    </row>
    <row r="344">
      <c r="V344" s="48"/>
    </row>
    <row r="345">
      <c r="V345" s="48"/>
    </row>
    <row r="346">
      <c r="V346" s="48"/>
    </row>
    <row r="347">
      <c r="V347" s="48"/>
    </row>
    <row r="348">
      <c r="V348" s="48"/>
    </row>
    <row r="349">
      <c r="V349" s="48"/>
    </row>
    <row r="350">
      <c r="V350" s="48"/>
    </row>
    <row r="351">
      <c r="V351" s="48"/>
    </row>
    <row r="352">
      <c r="V352" s="48"/>
    </row>
    <row r="353">
      <c r="V353" s="48"/>
    </row>
    <row r="354">
      <c r="V354" s="48"/>
    </row>
    <row r="355">
      <c r="V355" s="48"/>
    </row>
    <row r="356">
      <c r="V356" s="48"/>
    </row>
    <row r="357">
      <c r="V357" s="48"/>
    </row>
    <row r="358">
      <c r="V358" s="48"/>
    </row>
    <row r="359">
      <c r="V359" s="48"/>
    </row>
    <row r="360">
      <c r="V360" s="48"/>
    </row>
    <row r="361">
      <c r="V361" s="48"/>
    </row>
    <row r="362">
      <c r="V362" s="48"/>
    </row>
    <row r="363">
      <c r="V363" s="48"/>
    </row>
    <row r="364">
      <c r="V364" s="48"/>
    </row>
    <row r="365">
      <c r="V365" s="48"/>
    </row>
    <row r="366">
      <c r="V366" s="48"/>
    </row>
    <row r="367">
      <c r="V367" s="48"/>
    </row>
    <row r="368">
      <c r="V368" s="48"/>
    </row>
    <row r="369">
      <c r="V369" s="48"/>
    </row>
    <row r="370">
      <c r="V370" s="48"/>
    </row>
    <row r="371">
      <c r="V371" s="48"/>
    </row>
    <row r="372">
      <c r="V372" s="48"/>
    </row>
    <row r="373">
      <c r="V373" s="48"/>
    </row>
    <row r="374">
      <c r="V374" s="48"/>
    </row>
    <row r="375">
      <c r="V375" s="48"/>
    </row>
    <row r="376">
      <c r="V376" s="48"/>
    </row>
    <row r="377">
      <c r="V377" s="48"/>
    </row>
    <row r="378">
      <c r="V378" s="48"/>
    </row>
    <row r="379">
      <c r="V379" s="48"/>
    </row>
    <row r="380">
      <c r="V380" s="48"/>
    </row>
    <row r="381">
      <c r="V381" s="48"/>
    </row>
    <row r="382">
      <c r="V382" s="48"/>
    </row>
    <row r="383">
      <c r="V383" s="48"/>
    </row>
    <row r="384">
      <c r="V384" s="48"/>
    </row>
    <row r="385">
      <c r="V385" s="48"/>
    </row>
    <row r="386">
      <c r="V386" s="48"/>
    </row>
    <row r="387">
      <c r="V387" s="48"/>
    </row>
    <row r="388">
      <c r="V388" s="48"/>
    </row>
    <row r="389">
      <c r="V389" s="48"/>
    </row>
    <row r="390">
      <c r="V390" s="48"/>
    </row>
    <row r="391">
      <c r="V391" s="48"/>
    </row>
    <row r="392">
      <c r="V392" s="48"/>
    </row>
    <row r="393">
      <c r="V393" s="48"/>
    </row>
    <row r="394">
      <c r="V394" s="48"/>
    </row>
    <row r="395">
      <c r="V395" s="48"/>
    </row>
    <row r="396">
      <c r="V396" s="48"/>
    </row>
    <row r="397">
      <c r="V397" s="48"/>
    </row>
    <row r="398">
      <c r="V398" s="48"/>
    </row>
    <row r="399">
      <c r="V399" s="48"/>
    </row>
    <row r="400">
      <c r="V400" s="48"/>
    </row>
    <row r="401">
      <c r="V401" s="48"/>
    </row>
    <row r="402">
      <c r="V402" s="48"/>
    </row>
    <row r="403">
      <c r="V403" s="48"/>
    </row>
    <row r="404">
      <c r="V404" s="48"/>
    </row>
    <row r="405">
      <c r="V405" s="48"/>
    </row>
    <row r="406">
      <c r="V406" s="48"/>
    </row>
    <row r="407">
      <c r="V407" s="48"/>
    </row>
    <row r="408">
      <c r="V408" s="48"/>
    </row>
    <row r="409">
      <c r="V409" s="48"/>
    </row>
    <row r="410">
      <c r="V410" s="48"/>
    </row>
    <row r="411">
      <c r="V411" s="48"/>
    </row>
    <row r="412">
      <c r="V412" s="48"/>
    </row>
    <row r="413">
      <c r="V413" s="48"/>
    </row>
    <row r="414">
      <c r="V414" s="48"/>
    </row>
    <row r="415">
      <c r="V415" s="48"/>
    </row>
    <row r="416">
      <c r="V416" s="48"/>
    </row>
    <row r="417">
      <c r="V417" s="48"/>
    </row>
    <row r="418">
      <c r="V418" s="48"/>
    </row>
    <row r="419">
      <c r="V419" s="48"/>
    </row>
    <row r="420">
      <c r="V420" s="48"/>
    </row>
    <row r="421">
      <c r="V421" s="48"/>
    </row>
    <row r="422">
      <c r="V422" s="48"/>
    </row>
    <row r="423">
      <c r="V423" s="48"/>
    </row>
    <row r="424">
      <c r="V424" s="48"/>
    </row>
    <row r="425">
      <c r="V425" s="48"/>
    </row>
    <row r="426">
      <c r="V426" s="48"/>
    </row>
    <row r="427">
      <c r="V427" s="48"/>
    </row>
    <row r="428">
      <c r="V428" s="48"/>
    </row>
    <row r="429">
      <c r="V429" s="48"/>
    </row>
    <row r="430">
      <c r="V430" s="48"/>
    </row>
    <row r="431">
      <c r="V431" s="48"/>
    </row>
    <row r="432">
      <c r="V432" s="48"/>
    </row>
    <row r="433">
      <c r="V433" s="48"/>
    </row>
    <row r="434">
      <c r="V434" s="48"/>
    </row>
    <row r="435">
      <c r="V435" s="48"/>
    </row>
    <row r="436">
      <c r="V436" s="48"/>
    </row>
    <row r="437">
      <c r="V437" s="48"/>
    </row>
    <row r="438">
      <c r="V438" s="48"/>
    </row>
    <row r="439">
      <c r="V439" s="48"/>
    </row>
    <row r="440">
      <c r="V440" s="48"/>
    </row>
    <row r="441">
      <c r="V441" s="48"/>
    </row>
    <row r="442">
      <c r="V442" s="48"/>
    </row>
    <row r="443">
      <c r="V443" s="48"/>
    </row>
    <row r="444">
      <c r="V444" s="48"/>
    </row>
    <row r="445">
      <c r="V445" s="48"/>
    </row>
    <row r="446">
      <c r="V446" s="48"/>
    </row>
    <row r="447">
      <c r="V447" s="48"/>
    </row>
    <row r="448">
      <c r="V448" s="48"/>
    </row>
    <row r="449">
      <c r="V449" s="48"/>
    </row>
    <row r="450">
      <c r="V450" s="48"/>
    </row>
    <row r="451">
      <c r="V451" s="48"/>
    </row>
    <row r="452">
      <c r="V452" s="48"/>
    </row>
    <row r="453">
      <c r="V453" s="48"/>
    </row>
    <row r="454">
      <c r="V454" s="48"/>
    </row>
    <row r="455">
      <c r="V455" s="48"/>
    </row>
    <row r="456">
      <c r="V456" s="48"/>
    </row>
    <row r="457">
      <c r="V457" s="48"/>
    </row>
    <row r="458">
      <c r="V458" s="48"/>
    </row>
    <row r="459">
      <c r="V459" s="48"/>
    </row>
    <row r="460">
      <c r="V460" s="48"/>
    </row>
    <row r="461">
      <c r="V461" s="48"/>
    </row>
    <row r="462">
      <c r="V462" s="48"/>
    </row>
    <row r="463">
      <c r="V463" s="48"/>
    </row>
    <row r="464">
      <c r="V464" s="48"/>
    </row>
    <row r="465">
      <c r="V465" s="48"/>
    </row>
    <row r="466">
      <c r="V466" s="48"/>
    </row>
    <row r="467">
      <c r="V467" s="48"/>
    </row>
    <row r="468">
      <c r="V468" s="48"/>
    </row>
    <row r="469">
      <c r="V469" s="48"/>
    </row>
    <row r="470">
      <c r="V470" s="48"/>
    </row>
    <row r="471">
      <c r="V471" s="48"/>
    </row>
    <row r="472">
      <c r="V472" s="48"/>
    </row>
    <row r="473">
      <c r="V473" s="48"/>
    </row>
    <row r="474">
      <c r="V474" s="48"/>
    </row>
    <row r="475">
      <c r="V475" s="48"/>
    </row>
    <row r="476">
      <c r="V476" s="48"/>
    </row>
    <row r="477">
      <c r="V477" s="48"/>
    </row>
    <row r="478">
      <c r="V478" s="48"/>
    </row>
    <row r="479">
      <c r="V479" s="48"/>
    </row>
    <row r="480">
      <c r="V480" s="48"/>
    </row>
    <row r="481">
      <c r="V481" s="48"/>
    </row>
    <row r="482">
      <c r="V482" s="48"/>
    </row>
    <row r="483">
      <c r="V483" s="48"/>
    </row>
    <row r="484">
      <c r="V484" s="48"/>
    </row>
    <row r="485">
      <c r="V485" s="48"/>
    </row>
    <row r="486">
      <c r="V486" s="48"/>
    </row>
    <row r="487">
      <c r="V487" s="48"/>
    </row>
    <row r="488">
      <c r="V488" s="48"/>
    </row>
    <row r="489">
      <c r="V489" s="48"/>
    </row>
    <row r="490">
      <c r="V490" s="48"/>
    </row>
    <row r="491">
      <c r="V491" s="48"/>
    </row>
    <row r="492">
      <c r="V492" s="48"/>
    </row>
    <row r="493">
      <c r="V493" s="48"/>
    </row>
    <row r="494">
      <c r="V494" s="48"/>
    </row>
    <row r="495">
      <c r="V495" s="48"/>
    </row>
    <row r="496">
      <c r="V496" s="48"/>
    </row>
    <row r="497">
      <c r="V497" s="48"/>
    </row>
    <row r="498">
      <c r="V498" s="48"/>
    </row>
    <row r="499">
      <c r="V499" s="48"/>
    </row>
    <row r="500">
      <c r="V500" s="48"/>
    </row>
    <row r="501">
      <c r="V501" s="48"/>
    </row>
    <row r="502">
      <c r="V502" s="48"/>
    </row>
    <row r="503">
      <c r="V503" s="48"/>
    </row>
    <row r="504">
      <c r="V504" s="48"/>
    </row>
    <row r="505">
      <c r="V505" s="48"/>
    </row>
    <row r="506">
      <c r="V506" s="48"/>
    </row>
    <row r="507">
      <c r="V507" s="48"/>
    </row>
    <row r="508">
      <c r="V508" s="48"/>
    </row>
    <row r="509">
      <c r="V509" s="48"/>
    </row>
    <row r="510">
      <c r="V510" s="48"/>
    </row>
    <row r="511">
      <c r="V511" s="48"/>
    </row>
    <row r="512">
      <c r="V512" s="48"/>
    </row>
    <row r="513">
      <c r="V513" s="48"/>
    </row>
    <row r="514">
      <c r="V514" s="48"/>
    </row>
    <row r="515">
      <c r="V515" s="48"/>
    </row>
    <row r="516">
      <c r="V516" s="48"/>
    </row>
    <row r="517">
      <c r="V517" s="48"/>
    </row>
    <row r="518">
      <c r="V518" s="48"/>
    </row>
    <row r="519">
      <c r="V519" s="48"/>
    </row>
    <row r="520">
      <c r="V520" s="48"/>
    </row>
    <row r="521">
      <c r="V521" s="48"/>
    </row>
    <row r="522">
      <c r="V522" s="48"/>
    </row>
    <row r="523">
      <c r="V523" s="48"/>
    </row>
    <row r="524">
      <c r="V524" s="48"/>
    </row>
    <row r="525">
      <c r="V525" s="48"/>
    </row>
    <row r="526">
      <c r="V526" s="48"/>
    </row>
    <row r="527">
      <c r="V527" s="48"/>
    </row>
    <row r="528">
      <c r="V528" s="48"/>
    </row>
    <row r="529">
      <c r="V529" s="48"/>
    </row>
    <row r="530">
      <c r="V530" s="48"/>
    </row>
    <row r="531">
      <c r="V531" s="48"/>
    </row>
    <row r="532">
      <c r="V532" s="48"/>
    </row>
    <row r="533">
      <c r="V533" s="48"/>
    </row>
    <row r="534">
      <c r="V534" s="48"/>
    </row>
    <row r="535">
      <c r="V535" s="48"/>
    </row>
    <row r="536">
      <c r="V536" s="48"/>
    </row>
    <row r="537">
      <c r="V537" s="48"/>
    </row>
    <row r="538">
      <c r="V538" s="48"/>
    </row>
    <row r="539">
      <c r="V539" s="48"/>
    </row>
    <row r="540">
      <c r="V540" s="48"/>
    </row>
    <row r="541">
      <c r="V541" s="48"/>
    </row>
    <row r="542">
      <c r="V542" s="48"/>
    </row>
    <row r="543">
      <c r="V543" s="48"/>
    </row>
    <row r="544">
      <c r="V544" s="48"/>
    </row>
    <row r="545">
      <c r="V545" s="48"/>
    </row>
    <row r="546">
      <c r="V546" s="48"/>
    </row>
    <row r="547">
      <c r="V547" s="48"/>
    </row>
    <row r="548">
      <c r="V548" s="48"/>
    </row>
    <row r="549">
      <c r="V549" s="48"/>
    </row>
    <row r="550">
      <c r="V550" s="48"/>
    </row>
    <row r="551">
      <c r="V551" s="48"/>
    </row>
    <row r="552">
      <c r="V552" s="48"/>
    </row>
    <row r="553">
      <c r="V553" s="48"/>
    </row>
    <row r="554">
      <c r="V554" s="48"/>
    </row>
    <row r="555">
      <c r="V555" s="48"/>
    </row>
    <row r="556">
      <c r="V556" s="48"/>
    </row>
    <row r="557">
      <c r="V557" s="48"/>
    </row>
    <row r="558">
      <c r="V558" s="48"/>
    </row>
    <row r="559">
      <c r="V559" s="48"/>
    </row>
    <row r="560">
      <c r="V560" s="48"/>
    </row>
    <row r="561">
      <c r="V561" s="48"/>
    </row>
    <row r="562">
      <c r="V562" s="48"/>
    </row>
    <row r="563">
      <c r="V563" s="48"/>
    </row>
    <row r="564">
      <c r="V564" s="48"/>
    </row>
    <row r="565">
      <c r="V565" s="48"/>
    </row>
    <row r="566">
      <c r="V566" s="48"/>
    </row>
    <row r="567">
      <c r="V567" s="48"/>
    </row>
    <row r="568">
      <c r="V568" s="48"/>
    </row>
    <row r="569">
      <c r="V569" s="48"/>
    </row>
    <row r="570">
      <c r="V570" s="48"/>
    </row>
    <row r="571">
      <c r="V571" s="48"/>
    </row>
    <row r="572">
      <c r="V572" s="48"/>
    </row>
    <row r="573">
      <c r="V573" s="48"/>
    </row>
    <row r="574">
      <c r="V574" s="48"/>
    </row>
    <row r="575">
      <c r="V575" s="48"/>
    </row>
    <row r="576">
      <c r="V576" s="48"/>
    </row>
    <row r="577">
      <c r="V577" s="48"/>
    </row>
    <row r="578">
      <c r="V578" s="48"/>
    </row>
    <row r="579">
      <c r="V579" s="48"/>
    </row>
    <row r="580">
      <c r="V580" s="48"/>
    </row>
    <row r="581">
      <c r="V581" s="48"/>
    </row>
    <row r="582">
      <c r="V582" s="48"/>
    </row>
    <row r="583">
      <c r="V583" s="48"/>
    </row>
    <row r="584">
      <c r="V584" s="48"/>
    </row>
    <row r="585">
      <c r="V585" s="48"/>
    </row>
    <row r="586">
      <c r="V586" s="48"/>
    </row>
    <row r="587">
      <c r="V587" s="48"/>
    </row>
    <row r="588">
      <c r="V588" s="48"/>
    </row>
    <row r="589">
      <c r="V589" s="48"/>
    </row>
    <row r="590">
      <c r="V590" s="48"/>
    </row>
    <row r="591">
      <c r="V591" s="48"/>
    </row>
    <row r="592">
      <c r="V592" s="48"/>
    </row>
    <row r="593">
      <c r="V593" s="48"/>
    </row>
    <row r="594">
      <c r="V594" s="48"/>
    </row>
    <row r="595">
      <c r="V595" s="48"/>
    </row>
    <row r="596">
      <c r="V596" s="48"/>
    </row>
    <row r="597">
      <c r="V597" s="48"/>
    </row>
    <row r="598">
      <c r="V598" s="48"/>
    </row>
    <row r="599">
      <c r="V599" s="48"/>
    </row>
    <row r="600">
      <c r="V600" s="48"/>
    </row>
    <row r="601">
      <c r="V601" s="48"/>
    </row>
    <row r="602">
      <c r="V602" s="48"/>
    </row>
    <row r="603">
      <c r="V603" s="48"/>
    </row>
    <row r="604">
      <c r="V604" s="48"/>
    </row>
    <row r="605">
      <c r="V605" s="48"/>
    </row>
    <row r="606">
      <c r="V606" s="48"/>
    </row>
    <row r="607">
      <c r="V607" s="48"/>
    </row>
    <row r="608">
      <c r="V608" s="48"/>
    </row>
    <row r="609">
      <c r="V609" s="48"/>
    </row>
    <row r="610">
      <c r="V610" s="48"/>
    </row>
    <row r="611">
      <c r="V611" s="48"/>
    </row>
    <row r="612">
      <c r="V612" s="48"/>
    </row>
    <row r="613">
      <c r="V613" s="48"/>
    </row>
    <row r="614">
      <c r="V614" s="48"/>
    </row>
    <row r="615">
      <c r="V615" s="48"/>
    </row>
    <row r="616">
      <c r="V616" s="48"/>
    </row>
    <row r="617">
      <c r="V617" s="48"/>
    </row>
    <row r="618">
      <c r="V618" s="48"/>
    </row>
    <row r="619">
      <c r="V619" s="48"/>
    </row>
    <row r="620">
      <c r="V620" s="48"/>
    </row>
    <row r="621">
      <c r="V621" s="48"/>
    </row>
    <row r="622">
      <c r="V622" s="48"/>
    </row>
    <row r="623">
      <c r="V623" s="48"/>
    </row>
    <row r="624">
      <c r="V624" s="48"/>
    </row>
    <row r="625">
      <c r="V625" s="48"/>
    </row>
    <row r="626">
      <c r="V626" s="48"/>
    </row>
    <row r="627">
      <c r="V627" s="48"/>
    </row>
    <row r="628">
      <c r="V628" s="48"/>
    </row>
    <row r="629">
      <c r="V629" s="48"/>
    </row>
    <row r="630">
      <c r="V630" s="48"/>
    </row>
    <row r="631">
      <c r="V631" s="48"/>
    </row>
    <row r="632">
      <c r="V632" s="48"/>
    </row>
    <row r="633">
      <c r="V633" s="48"/>
    </row>
    <row r="634">
      <c r="V634" s="48"/>
    </row>
    <row r="635">
      <c r="V635" s="48"/>
    </row>
    <row r="636">
      <c r="V636" s="48"/>
    </row>
    <row r="637">
      <c r="V637" s="48"/>
    </row>
    <row r="638">
      <c r="V638" s="48"/>
    </row>
    <row r="639">
      <c r="V639" s="48"/>
    </row>
    <row r="640">
      <c r="V640" s="48"/>
    </row>
    <row r="641">
      <c r="V641" s="48"/>
    </row>
    <row r="642">
      <c r="V642" s="48"/>
    </row>
    <row r="643">
      <c r="V643" s="48"/>
    </row>
    <row r="644">
      <c r="V644" s="48"/>
    </row>
    <row r="645">
      <c r="V645" s="48"/>
    </row>
    <row r="646">
      <c r="V646" s="48"/>
    </row>
    <row r="647">
      <c r="V647" s="48"/>
    </row>
    <row r="648">
      <c r="V648" s="48"/>
    </row>
    <row r="649">
      <c r="V649" s="48"/>
    </row>
    <row r="650">
      <c r="V650" s="48"/>
    </row>
    <row r="651">
      <c r="V651" s="48"/>
    </row>
    <row r="652">
      <c r="V652" s="48"/>
    </row>
    <row r="653">
      <c r="V653" s="48"/>
    </row>
    <row r="654">
      <c r="V654" s="48"/>
    </row>
    <row r="655">
      <c r="V655" s="48"/>
    </row>
    <row r="656">
      <c r="V656" s="48"/>
    </row>
    <row r="657">
      <c r="V657" s="48"/>
    </row>
    <row r="658">
      <c r="V658" s="48"/>
    </row>
    <row r="659">
      <c r="V659" s="48"/>
    </row>
    <row r="660">
      <c r="V660" s="48"/>
    </row>
    <row r="661">
      <c r="V661" s="48"/>
    </row>
    <row r="662">
      <c r="V662" s="48"/>
    </row>
    <row r="663">
      <c r="V663" s="48"/>
    </row>
    <row r="664">
      <c r="V664" s="48"/>
    </row>
    <row r="665">
      <c r="V665" s="48"/>
    </row>
    <row r="666">
      <c r="V666" s="48"/>
    </row>
    <row r="667">
      <c r="V667" s="48"/>
    </row>
    <row r="668">
      <c r="V668" s="48"/>
    </row>
    <row r="669">
      <c r="V669" s="48"/>
    </row>
    <row r="670">
      <c r="V670" s="48"/>
    </row>
    <row r="671">
      <c r="V671" s="48"/>
    </row>
    <row r="672">
      <c r="V672" s="48"/>
    </row>
    <row r="673">
      <c r="V673" s="48"/>
    </row>
    <row r="674">
      <c r="V674" s="48"/>
    </row>
    <row r="675">
      <c r="V675" s="48"/>
    </row>
    <row r="676">
      <c r="V676" s="48"/>
    </row>
    <row r="677">
      <c r="V677" s="48"/>
    </row>
    <row r="678">
      <c r="V678" s="48"/>
    </row>
    <row r="679">
      <c r="V679" s="48"/>
    </row>
    <row r="680">
      <c r="V680" s="48"/>
    </row>
    <row r="681">
      <c r="V681" s="48"/>
    </row>
    <row r="682">
      <c r="V682" s="48"/>
    </row>
    <row r="683">
      <c r="V683" s="48"/>
    </row>
    <row r="684">
      <c r="V684" s="48"/>
    </row>
    <row r="685">
      <c r="V685" s="48"/>
    </row>
    <row r="686">
      <c r="V686" s="48"/>
    </row>
    <row r="687">
      <c r="V687" s="48"/>
    </row>
    <row r="688">
      <c r="V688" s="48"/>
    </row>
    <row r="689">
      <c r="V689" s="48"/>
    </row>
    <row r="690">
      <c r="V690" s="48"/>
    </row>
    <row r="691">
      <c r="V691" s="48"/>
    </row>
    <row r="692">
      <c r="V692" s="48"/>
    </row>
    <row r="693">
      <c r="V693" s="48"/>
    </row>
    <row r="694">
      <c r="V694" s="48"/>
    </row>
    <row r="695">
      <c r="V695" s="48"/>
    </row>
    <row r="696">
      <c r="V696" s="48"/>
    </row>
    <row r="697">
      <c r="V697" s="48"/>
    </row>
    <row r="698">
      <c r="V698" s="48"/>
    </row>
    <row r="699">
      <c r="V699" s="48"/>
    </row>
    <row r="700">
      <c r="V700" s="48"/>
    </row>
    <row r="701">
      <c r="V701" s="48"/>
    </row>
    <row r="702">
      <c r="V702" s="48"/>
    </row>
    <row r="703">
      <c r="V703" s="48"/>
    </row>
    <row r="704">
      <c r="V704" s="48"/>
    </row>
    <row r="705">
      <c r="V705" s="48"/>
    </row>
    <row r="706">
      <c r="V706" s="48"/>
    </row>
    <row r="707">
      <c r="V707" s="48"/>
    </row>
    <row r="708">
      <c r="V708" s="48"/>
    </row>
    <row r="709">
      <c r="V709" s="48"/>
    </row>
    <row r="710">
      <c r="V710" s="48"/>
    </row>
    <row r="711">
      <c r="V711" s="48"/>
    </row>
    <row r="712">
      <c r="V712" s="48"/>
    </row>
    <row r="713">
      <c r="V713" s="48"/>
    </row>
    <row r="714">
      <c r="V714" s="48"/>
    </row>
    <row r="715">
      <c r="V715" s="48"/>
    </row>
    <row r="716">
      <c r="V716" s="48"/>
    </row>
    <row r="717">
      <c r="V717" s="48"/>
    </row>
    <row r="718">
      <c r="V718" s="48"/>
    </row>
    <row r="719">
      <c r="V719" s="48"/>
    </row>
    <row r="720">
      <c r="V720" s="48"/>
    </row>
    <row r="721">
      <c r="V721" s="48"/>
    </row>
    <row r="722">
      <c r="V722" s="48"/>
    </row>
    <row r="723">
      <c r="V723" s="48"/>
    </row>
    <row r="724">
      <c r="V724" s="48"/>
    </row>
    <row r="725">
      <c r="V725" s="48"/>
    </row>
    <row r="726">
      <c r="V726" s="48"/>
    </row>
    <row r="727">
      <c r="V727" s="48"/>
    </row>
    <row r="728">
      <c r="V728" s="48"/>
    </row>
    <row r="729">
      <c r="V729" s="48"/>
    </row>
    <row r="730">
      <c r="V730" s="48"/>
    </row>
    <row r="731">
      <c r="V731" s="48"/>
    </row>
    <row r="732">
      <c r="V732" s="48"/>
    </row>
    <row r="733">
      <c r="V733" s="48"/>
    </row>
    <row r="734">
      <c r="V734" s="48"/>
    </row>
    <row r="735">
      <c r="V735" s="48"/>
    </row>
    <row r="736">
      <c r="V736" s="48"/>
    </row>
    <row r="737">
      <c r="V737" s="48"/>
    </row>
    <row r="738">
      <c r="V738" s="48"/>
    </row>
    <row r="739">
      <c r="V739" s="48"/>
    </row>
    <row r="740">
      <c r="V740" s="48"/>
    </row>
    <row r="741">
      <c r="V741" s="48"/>
    </row>
    <row r="742">
      <c r="V742" s="48"/>
    </row>
    <row r="743">
      <c r="V743" s="48"/>
    </row>
    <row r="744">
      <c r="V744" s="48"/>
    </row>
    <row r="745">
      <c r="V745" s="48"/>
    </row>
    <row r="746">
      <c r="V746" s="48"/>
    </row>
    <row r="747">
      <c r="V747" s="48"/>
    </row>
    <row r="748">
      <c r="V748" s="48"/>
    </row>
    <row r="749">
      <c r="V749" s="48"/>
    </row>
    <row r="750">
      <c r="V750" s="48"/>
    </row>
    <row r="751">
      <c r="V751" s="48"/>
    </row>
    <row r="752">
      <c r="V752" s="48"/>
    </row>
    <row r="753">
      <c r="V753" s="48"/>
    </row>
    <row r="754">
      <c r="V754" s="48"/>
    </row>
    <row r="755">
      <c r="V755" s="48"/>
    </row>
    <row r="756">
      <c r="V756" s="48"/>
    </row>
    <row r="757">
      <c r="V757" s="48"/>
    </row>
    <row r="758">
      <c r="V758" s="48"/>
    </row>
    <row r="759">
      <c r="V759" s="48"/>
    </row>
    <row r="760">
      <c r="V760" s="48"/>
    </row>
    <row r="761">
      <c r="V761" s="48"/>
    </row>
    <row r="762">
      <c r="V762" s="48"/>
    </row>
    <row r="763">
      <c r="V763" s="48"/>
    </row>
    <row r="764">
      <c r="V764" s="48"/>
    </row>
    <row r="765">
      <c r="V765" s="48"/>
    </row>
    <row r="766">
      <c r="V766" s="48"/>
    </row>
    <row r="767">
      <c r="V767" s="48"/>
    </row>
    <row r="768">
      <c r="V768" s="48"/>
    </row>
    <row r="769">
      <c r="V769" s="48"/>
    </row>
    <row r="770">
      <c r="V770" s="48"/>
    </row>
    <row r="771">
      <c r="V771" s="48"/>
    </row>
    <row r="772">
      <c r="V772" s="48"/>
    </row>
    <row r="773">
      <c r="V773" s="48"/>
    </row>
    <row r="774">
      <c r="V774" s="48"/>
    </row>
    <row r="775">
      <c r="V775" s="48"/>
    </row>
    <row r="776">
      <c r="V776" s="48"/>
    </row>
    <row r="777">
      <c r="V777" s="48"/>
    </row>
    <row r="778">
      <c r="V778" s="48"/>
    </row>
    <row r="779">
      <c r="V779" s="48"/>
    </row>
    <row r="780">
      <c r="V780" s="48"/>
    </row>
    <row r="781">
      <c r="V781" s="48"/>
    </row>
    <row r="782">
      <c r="V782" s="48"/>
    </row>
    <row r="783">
      <c r="V783" s="48"/>
    </row>
    <row r="784">
      <c r="V784" s="48"/>
    </row>
    <row r="785">
      <c r="V785" s="48"/>
    </row>
    <row r="786">
      <c r="V786" s="48"/>
    </row>
    <row r="787">
      <c r="V787" s="48"/>
    </row>
    <row r="788">
      <c r="V788" s="48"/>
    </row>
    <row r="789">
      <c r="V789" s="48"/>
    </row>
    <row r="790">
      <c r="V790" s="48"/>
    </row>
    <row r="791">
      <c r="V791" s="48"/>
    </row>
    <row r="792">
      <c r="V792" s="48"/>
    </row>
    <row r="793">
      <c r="V793" s="48"/>
    </row>
    <row r="794">
      <c r="V794" s="48"/>
    </row>
    <row r="795">
      <c r="V795" s="48"/>
    </row>
    <row r="796">
      <c r="V796" s="48"/>
    </row>
    <row r="797">
      <c r="V797" s="48"/>
    </row>
    <row r="798">
      <c r="V798" s="48"/>
    </row>
    <row r="799">
      <c r="V799" s="48"/>
    </row>
    <row r="800">
      <c r="V800" s="48"/>
    </row>
    <row r="801">
      <c r="V801" s="48"/>
    </row>
    <row r="802">
      <c r="V802" s="48"/>
    </row>
    <row r="803">
      <c r="V803" s="48"/>
    </row>
    <row r="804">
      <c r="V804" s="48"/>
    </row>
    <row r="805">
      <c r="V805" s="48"/>
    </row>
    <row r="806">
      <c r="V806" s="48"/>
    </row>
    <row r="807">
      <c r="V807" s="48"/>
    </row>
    <row r="808">
      <c r="V808" s="48"/>
    </row>
    <row r="809">
      <c r="V809" s="48"/>
    </row>
    <row r="810">
      <c r="V810" s="48"/>
    </row>
    <row r="811">
      <c r="V811" s="48"/>
    </row>
    <row r="812">
      <c r="V812" s="48"/>
    </row>
    <row r="813">
      <c r="V813" s="48"/>
    </row>
    <row r="814">
      <c r="V814" s="48"/>
    </row>
    <row r="815">
      <c r="V815" s="48"/>
    </row>
    <row r="816">
      <c r="V816" s="48"/>
    </row>
    <row r="817">
      <c r="V817" s="48"/>
    </row>
    <row r="818">
      <c r="V818" s="48"/>
    </row>
    <row r="819">
      <c r="V819" s="48"/>
    </row>
    <row r="820">
      <c r="V820" s="48"/>
    </row>
    <row r="821">
      <c r="V821" s="48"/>
    </row>
    <row r="822">
      <c r="V822" s="48"/>
    </row>
    <row r="823">
      <c r="V823" s="48"/>
    </row>
    <row r="824">
      <c r="V824" s="48"/>
    </row>
    <row r="825">
      <c r="V825" s="48"/>
    </row>
    <row r="826">
      <c r="V826" s="48"/>
    </row>
    <row r="827">
      <c r="V827" s="48"/>
    </row>
    <row r="828">
      <c r="V828" s="48"/>
    </row>
    <row r="829">
      <c r="V829" s="48"/>
    </row>
    <row r="830">
      <c r="V830" s="48"/>
    </row>
    <row r="831">
      <c r="V831" s="48"/>
    </row>
    <row r="832">
      <c r="V832" s="48"/>
    </row>
    <row r="833">
      <c r="V833" s="48"/>
    </row>
    <row r="834">
      <c r="V834" s="48"/>
    </row>
    <row r="835">
      <c r="V835" s="48"/>
    </row>
    <row r="836">
      <c r="V836" s="48"/>
    </row>
    <row r="837">
      <c r="V837" s="48"/>
    </row>
    <row r="838">
      <c r="V838" s="48"/>
    </row>
    <row r="839">
      <c r="V839" s="48"/>
    </row>
    <row r="840">
      <c r="V840" s="48"/>
    </row>
    <row r="841">
      <c r="V841" s="48"/>
    </row>
    <row r="842">
      <c r="V842" s="48"/>
    </row>
    <row r="843">
      <c r="V843" s="48"/>
    </row>
    <row r="844">
      <c r="V844" s="48"/>
    </row>
    <row r="845">
      <c r="V845" s="48"/>
    </row>
    <row r="846">
      <c r="V846" s="48"/>
    </row>
    <row r="847">
      <c r="V847" s="48"/>
    </row>
    <row r="848">
      <c r="V848" s="48"/>
    </row>
    <row r="849">
      <c r="V849" s="48"/>
    </row>
    <row r="850">
      <c r="V850" s="48"/>
    </row>
    <row r="851">
      <c r="V851" s="48"/>
    </row>
    <row r="852">
      <c r="V852" s="48"/>
    </row>
    <row r="853">
      <c r="V853" s="48"/>
    </row>
    <row r="854">
      <c r="V854" s="48"/>
    </row>
    <row r="855">
      <c r="V855" s="48"/>
    </row>
    <row r="856">
      <c r="V856" s="48"/>
    </row>
    <row r="857">
      <c r="V857" s="48"/>
    </row>
    <row r="858">
      <c r="V858" s="48"/>
    </row>
    <row r="859">
      <c r="V859" s="48"/>
    </row>
    <row r="860">
      <c r="V860" s="48"/>
    </row>
    <row r="861">
      <c r="V861" s="48"/>
    </row>
    <row r="862">
      <c r="V862" s="48"/>
    </row>
    <row r="863">
      <c r="V863" s="48"/>
    </row>
    <row r="864">
      <c r="V864" s="48"/>
    </row>
    <row r="865">
      <c r="V865" s="48"/>
    </row>
    <row r="866">
      <c r="V866" s="48"/>
    </row>
    <row r="867">
      <c r="V867" s="48"/>
    </row>
    <row r="868">
      <c r="V868" s="48"/>
    </row>
    <row r="869">
      <c r="V869" s="48"/>
    </row>
    <row r="870">
      <c r="V870" s="48"/>
    </row>
    <row r="871">
      <c r="V871" s="48"/>
    </row>
    <row r="872">
      <c r="V872" s="48"/>
    </row>
    <row r="873">
      <c r="V873" s="48"/>
    </row>
    <row r="874">
      <c r="V874" s="48"/>
    </row>
    <row r="875">
      <c r="V875" s="48"/>
    </row>
    <row r="876">
      <c r="V876" s="48"/>
    </row>
    <row r="877">
      <c r="V877" s="48"/>
    </row>
    <row r="878">
      <c r="V878" s="48"/>
    </row>
    <row r="879">
      <c r="V879" s="48"/>
    </row>
    <row r="880">
      <c r="V880" s="48"/>
    </row>
    <row r="881">
      <c r="V881" s="48"/>
    </row>
    <row r="882">
      <c r="V882" s="48"/>
    </row>
    <row r="883">
      <c r="V883" s="48"/>
    </row>
    <row r="884">
      <c r="V884" s="48"/>
    </row>
    <row r="885">
      <c r="V885" s="48"/>
    </row>
    <row r="886">
      <c r="V886" s="48"/>
    </row>
    <row r="887">
      <c r="V887" s="48"/>
    </row>
    <row r="888">
      <c r="V888" s="48"/>
    </row>
    <row r="889">
      <c r="V889" s="48"/>
    </row>
    <row r="890">
      <c r="V890" s="48"/>
    </row>
    <row r="891">
      <c r="V891" s="48"/>
    </row>
    <row r="892">
      <c r="V892" s="48"/>
    </row>
    <row r="893">
      <c r="V893" s="48"/>
    </row>
    <row r="894">
      <c r="V894" s="48"/>
    </row>
    <row r="895">
      <c r="V895" s="48"/>
    </row>
    <row r="896">
      <c r="V896" s="48"/>
    </row>
    <row r="897">
      <c r="V897" s="48"/>
    </row>
    <row r="898">
      <c r="V898" s="48"/>
    </row>
    <row r="899">
      <c r="V899" s="48"/>
    </row>
    <row r="900">
      <c r="V900" s="48"/>
    </row>
    <row r="901">
      <c r="V901" s="48"/>
    </row>
    <row r="902">
      <c r="V902" s="48"/>
    </row>
    <row r="903">
      <c r="V903" s="48"/>
    </row>
    <row r="904">
      <c r="V904" s="48"/>
    </row>
    <row r="905">
      <c r="V905" s="48"/>
    </row>
    <row r="906">
      <c r="V906" s="48"/>
    </row>
    <row r="907">
      <c r="V907" s="48"/>
    </row>
    <row r="908">
      <c r="V908" s="48"/>
    </row>
    <row r="909">
      <c r="V909" s="48"/>
    </row>
    <row r="910">
      <c r="V910" s="48"/>
    </row>
    <row r="911">
      <c r="V911" s="48"/>
    </row>
    <row r="912">
      <c r="V912" s="48"/>
    </row>
    <row r="913">
      <c r="V913" s="48"/>
    </row>
    <row r="914">
      <c r="V914" s="48"/>
    </row>
    <row r="915">
      <c r="V915" s="48"/>
    </row>
    <row r="916">
      <c r="V916" s="48"/>
    </row>
    <row r="917">
      <c r="V917" s="48"/>
    </row>
    <row r="918">
      <c r="V918" s="48"/>
    </row>
    <row r="919">
      <c r="V919" s="48"/>
    </row>
    <row r="920">
      <c r="V920" s="48"/>
    </row>
    <row r="921">
      <c r="V921" s="48"/>
    </row>
    <row r="922">
      <c r="V922" s="48"/>
    </row>
    <row r="923">
      <c r="V923" s="48"/>
    </row>
    <row r="924">
      <c r="V924" s="48"/>
    </row>
    <row r="925">
      <c r="V925" s="48"/>
    </row>
    <row r="926">
      <c r="V926" s="48"/>
    </row>
    <row r="927">
      <c r="V927" s="48"/>
    </row>
    <row r="928">
      <c r="V928" s="48"/>
    </row>
    <row r="929">
      <c r="V929" s="48"/>
    </row>
    <row r="930">
      <c r="V930" s="48"/>
    </row>
    <row r="931">
      <c r="V931" s="48"/>
    </row>
    <row r="932">
      <c r="V932" s="48"/>
    </row>
    <row r="933">
      <c r="V933" s="48"/>
    </row>
    <row r="934">
      <c r="V934" s="48"/>
    </row>
    <row r="935">
      <c r="V935" s="48"/>
    </row>
    <row r="936">
      <c r="V936" s="48"/>
    </row>
    <row r="937">
      <c r="V937" s="48"/>
    </row>
    <row r="938">
      <c r="V938" s="48"/>
    </row>
    <row r="939">
      <c r="V939" s="48"/>
    </row>
    <row r="940">
      <c r="V940" s="48"/>
    </row>
    <row r="941">
      <c r="V941" s="48"/>
    </row>
    <row r="942">
      <c r="V942" s="48"/>
    </row>
    <row r="943">
      <c r="V943" s="48"/>
    </row>
    <row r="944">
      <c r="V944" s="48"/>
    </row>
    <row r="945">
      <c r="V945" s="48"/>
    </row>
    <row r="946">
      <c r="V946" s="48"/>
    </row>
    <row r="947">
      <c r="V947" s="48"/>
    </row>
    <row r="948">
      <c r="V948" s="48"/>
    </row>
    <row r="949">
      <c r="V949" s="48"/>
    </row>
    <row r="950">
      <c r="V950" s="48"/>
    </row>
    <row r="951">
      <c r="V951" s="48"/>
    </row>
    <row r="952">
      <c r="V952" s="48"/>
    </row>
    <row r="953">
      <c r="V953" s="48"/>
    </row>
    <row r="954">
      <c r="V954" s="48"/>
    </row>
    <row r="955">
      <c r="V955" s="48"/>
    </row>
    <row r="956">
      <c r="V956" s="48"/>
    </row>
    <row r="957">
      <c r="V957" s="48"/>
    </row>
    <row r="958">
      <c r="V958" s="48"/>
    </row>
    <row r="959">
      <c r="V959" s="48"/>
    </row>
    <row r="960">
      <c r="V960" s="48"/>
    </row>
    <row r="961">
      <c r="V961" s="48"/>
    </row>
    <row r="962">
      <c r="V962" s="48"/>
    </row>
    <row r="963">
      <c r="V963" s="48"/>
    </row>
    <row r="964">
      <c r="V964" s="48"/>
    </row>
    <row r="965">
      <c r="V965" s="48"/>
    </row>
    <row r="966">
      <c r="V966" s="48"/>
    </row>
    <row r="967">
      <c r="V967" s="48"/>
    </row>
    <row r="968">
      <c r="V968" s="48"/>
    </row>
    <row r="969">
      <c r="V969" s="48"/>
    </row>
    <row r="970">
      <c r="V970" s="48"/>
    </row>
    <row r="971">
      <c r="V971" s="48"/>
    </row>
    <row r="972">
      <c r="V972" s="48"/>
    </row>
    <row r="973">
      <c r="V973" s="48"/>
    </row>
    <row r="974">
      <c r="V974" s="48"/>
    </row>
    <row r="975">
      <c r="V975" s="48"/>
    </row>
    <row r="976">
      <c r="V976" s="48"/>
    </row>
    <row r="977">
      <c r="V977" s="48"/>
    </row>
    <row r="978">
      <c r="V978" s="48"/>
    </row>
    <row r="979">
      <c r="V979" s="48"/>
    </row>
    <row r="980">
      <c r="V980" s="48"/>
    </row>
    <row r="981">
      <c r="V981" s="48"/>
    </row>
    <row r="982">
      <c r="V982" s="48"/>
    </row>
    <row r="983">
      <c r="V983" s="48"/>
    </row>
    <row r="984">
      <c r="V984" s="48"/>
    </row>
    <row r="985">
      <c r="V985" s="48"/>
    </row>
    <row r="986">
      <c r="V986" s="48"/>
    </row>
    <row r="987">
      <c r="V987" s="48"/>
    </row>
    <row r="988">
      <c r="V988" s="48"/>
    </row>
    <row r="989">
      <c r="V989" s="48"/>
    </row>
    <row r="990">
      <c r="V990" s="48"/>
    </row>
    <row r="991">
      <c r="V991" s="48"/>
    </row>
    <row r="992">
      <c r="V992" s="48"/>
    </row>
    <row r="993">
      <c r="V993" s="48"/>
    </row>
    <row r="994">
      <c r="V994" s="48"/>
    </row>
    <row r="995">
      <c r="V995" s="48"/>
    </row>
    <row r="996">
      <c r="V996" s="48"/>
    </row>
    <row r="997">
      <c r="V997" s="48"/>
    </row>
    <row r="998">
      <c r="V998" s="48"/>
    </row>
    <row r="999">
      <c r="V999" s="48"/>
    </row>
    <row r="1000">
      <c r="V1000" s="48"/>
    </row>
    <row r="1001">
      <c r="V1001" s="48"/>
    </row>
    <row r="1002">
      <c r="V1002" s="48"/>
    </row>
  </sheetData>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24.86"/>
    <col customWidth="1" min="2" max="19" width="14.43"/>
    <col customWidth="1" min="23" max="23" width="22.57"/>
  </cols>
  <sheetData>
    <row r="1">
      <c r="A1" s="59" t="s">
        <v>3699</v>
      </c>
    </row>
    <row r="3"/>
    <row r="4">
      <c r="W4" s="48" t="str">
        <f>A4</f>
        <v>Country</v>
      </c>
      <c r="X4" s="48" t="str">
        <f t="shared" ref="X4:X28" si="1">U4</f>
        <v>Grand Total</v>
      </c>
    </row>
    <row r="5">
      <c r="W5" s="46" t="str">
        <f t="shared" ref="W5:W28" si="2">LEFT(A5,LEN(A5)-5)</f>
        <v>Argentina</v>
      </c>
      <c r="X5" s="47">
        <f t="shared" si="1"/>
        <v>47067.39343</v>
      </c>
    </row>
    <row r="6">
      <c r="W6" s="46" t="str">
        <f t="shared" si="2"/>
        <v>Australia</v>
      </c>
      <c r="X6" s="47">
        <f t="shared" si="1"/>
        <v>23856328.97</v>
      </c>
    </row>
    <row r="7">
      <c r="W7" s="46" t="str">
        <f t="shared" si="2"/>
        <v>Austria</v>
      </c>
      <c r="X7" s="47">
        <f t="shared" si="1"/>
        <v>1088887.562</v>
      </c>
    </row>
    <row r="8">
      <c r="W8" s="46" t="str">
        <f t="shared" si="2"/>
        <v>Bahamas</v>
      </c>
      <c r="X8" s="47">
        <f t="shared" si="1"/>
        <v>327126.3211</v>
      </c>
    </row>
    <row r="9">
      <c r="W9" s="46" t="str">
        <f t="shared" si="2"/>
        <v>Belgium</v>
      </c>
      <c r="X9" s="47">
        <f t="shared" si="1"/>
        <v>2666663.416</v>
      </c>
    </row>
    <row r="10">
      <c r="W10" s="46" t="str">
        <f t="shared" si="2"/>
        <v>Canada</v>
      </c>
      <c r="X10" s="47">
        <f t="shared" si="1"/>
        <v>4617782.868</v>
      </c>
    </row>
    <row r="11">
      <c r="W11" s="46" t="str">
        <f t="shared" si="2"/>
        <v>Chile</v>
      </c>
      <c r="X11" s="47">
        <f t="shared" si="1"/>
        <v>167605.1276</v>
      </c>
    </row>
    <row r="12">
      <c r="W12" s="46" t="str">
        <f t="shared" si="2"/>
        <v>Colombia</v>
      </c>
      <c r="X12" s="47">
        <f t="shared" si="1"/>
        <v>44765.61622</v>
      </c>
    </row>
    <row r="13">
      <c r="W13" s="46" t="str">
        <f t="shared" si="2"/>
        <v>Denmark</v>
      </c>
      <c r="X13" s="47">
        <f t="shared" si="1"/>
        <v>1501569.14</v>
      </c>
    </row>
    <row r="14">
      <c r="W14" s="46" t="str">
        <f t="shared" si="2"/>
        <v>Finland</v>
      </c>
      <c r="X14" s="47">
        <f t="shared" si="1"/>
        <v>934129.5403</v>
      </c>
    </row>
    <row r="15">
      <c r="W15" s="46" t="str">
        <f t="shared" si="2"/>
        <v>Germany</v>
      </c>
      <c r="X15" s="47">
        <f t="shared" si="1"/>
        <v>9219967.503</v>
      </c>
    </row>
    <row r="16">
      <c r="W16" s="46" t="str">
        <f t="shared" si="2"/>
        <v>Italy</v>
      </c>
      <c r="X16" s="47">
        <f t="shared" si="1"/>
        <v>0</v>
      </c>
    </row>
    <row r="17">
      <c r="W17" s="46" t="str">
        <f t="shared" si="2"/>
        <v>Jamaica</v>
      </c>
      <c r="X17" s="47">
        <f t="shared" si="1"/>
        <v>667448.4029</v>
      </c>
    </row>
    <row r="18">
      <c r="W18" s="46" t="str">
        <f t="shared" si="2"/>
        <v>Netherlands</v>
      </c>
      <c r="X18" s="47">
        <f t="shared" si="1"/>
        <v>381041.2093</v>
      </c>
    </row>
    <row r="19">
      <c r="W19" s="46" t="str">
        <f t="shared" si="2"/>
        <v>New Zealand</v>
      </c>
      <c r="X19" s="47">
        <f t="shared" si="1"/>
        <v>2285462.375</v>
      </c>
    </row>
    <row r="20">
      <c r="W20" s="46" t="str">
        <f t="shared" si="2"/>
        <v>Norway</v>
      </c>
      <c r="X20" s="47">
        <f t="shared" si="1"/>
        <v>384699.9341</v>
      </c>
    </row>
    <row r="21">
      <c r="W21" s="46" t="str">
        <f t="shared" si="2"/>
        <v>Paraguay</v>
      </c>
      <c r="X21" s="47">
        <f t="shared" si="1"/>
        <v>275000</v>
      </c>
    </row>
    <row r="22">
      <c r="W22" s="46" t="str">
        <f t="shared" si="2"/>
        <v>Poland</v>
      </c>
      <c r="X22" s="47">
        <f t="shared" si="1"/>
        <v>11097023.05</v>
      </c>
    </row>
    <row r="23">
      <c r="W23" s="46" t="str">
        <f t="shared" si="2"/>
        <v>Puerto Rico</v>
      </c>
      <c r="X23" s="47">
        <f t="shared" si="1"/>
        <v>7890000</v>
      </c>
    </row>
    <row r="24">
      <c r="W24" s="46" t="str">
        <f t="shared" si="2"/>
        <v>South Africa</v>
      </c>
      <c r="X24" s="47">
        <f t="shared" si="1"/>
        <v>77619.66365</v>
      </c>
    </row>
    <row r="25">
      <c r="W25" s="46" t="str">
        <f t="shared" si="2"/>
        <v>Spain</v>
      </c>
      <c r="X25" s="47">
        <f t="shared" si="1"/>
        <v>5300119.253</v>
      </c>
    </row>
    <row r="26">
      <c r="W26" s="46" t="str">
        <f t="shared" si="2"/>
        <v>Sweden</v>
      </c>
      <c r="X26" s="47">
        <f t="shared" si="1"/>
        <v>3759493.605</v>
      </c>
    </row>
    <row r="27">
      <c r="W27" s="46" t="str">
        <f t="shared" si="2"/>
        <v>United Kingdom</v>
      </c>
      <c r="X27" s="47">
        <f t="shared" si="1"/>
        <v>16378045.83</v>
      </c>
    </row>
    <row r="28">
      <c r="W28" s="46" t="str">
        <f t="shared" si="2"/>
        <v>United States</v>
      </c>
      <c r="X28" s="47">
        <f t="shared" si="1"/>
        <v>154748732</v>
      </c>
    </row>
    <row r="29"/>
    <row r="30">
      <c r="X30" s="46" t="str">
        <f t="shared" ref="X30:X33" si="3">U30</f>
        <v/>
      </c>
    </row>
    <row r="31">
      <c r="X31" s="46" t="str">
        <f t="shared" si="3"/>
        <v/>
      </c>
    </row>
    <row r="32">
      <c r="X32" s="46" t="str">
        <f t="shared" si="3"/>
        <v/>
      </c>
    </row>
    <row r="33">
      <c r="X33" s="46" t="str">
        <f t="shared" si="3"/>
        <v/>
      </c>
    </row>
  </sheetData>
  <drawing r:id="rId2"/>
</worksheet>
</file>